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juliao\Documents\Estados Financieros\12 Diciembre 2022\"/>
    </mc:Choice>
  </mc:AlternateContent>
  <xr:revisionPtr revIDLastSave="0" documentId="13_ncr:1_{49497FF4-8F46-4A16-843A-8F93CF8AE99F}" xr6:coauthVersionLast="47" xr6:coauthVersionMax="47" xr10:uidLastSave="{00000000-0000-0000-0000-000000000000}"/>
  <bookViews>
    <workbookView xWindow="-120" yWindow="-120" windowWidth="29040" windowHeight="15840" tabRatio="777" firstSheet="1" activeTab="2" xr2:uid="{00000000-000D-0000-FFFF-FFFF00000000}"/>
  </bookViews>
  <sheets>
    <sheet name="Gráfico1" sheetId="9" state="hidden" r:id="rId1"/>
    <sheet name="PORTADA" sheetId="15" r:id="rId2"/>
    <sheet name="Hoja1" sheetId="1" r:id="rId3"/>
    <sheet name="Hoja2 - F" sheetId="2" r:id="rId4"/>
    <sheet name="Hoja4 - G" sheetId="4" r:id="rId5"/>
    <sheet name="Hoja3 - H" sheetId="3" r:id="rId6"/>
    <sheet name="Hoja5 - I" sheetId="5" r:id="rId7"/>
    <sheet name="Hoja5 (2)" sheetId="7" r:id="rId8"/>
    <sheet name="Hoja 6 - J" sheetId="11" r:id="rId9"/>
    <sheet name="Calculo" sheetId="14" state="hidden" r:id="rId10"/>
    <sheet name="Resultado" sheetId="13" state="hidden" r:id="rId11"/>
    <sheet name="Situación" sheetId="12" state="hidden" r:id="rId12"/>
  </sheets>
  <definedNames>
    <definedName name="_xlnm.Print_Area" localSheetId="9">Calculo!$A$1:$K$311</definedName>
    <definedName name="_xlnm.Print_Area" localSheetId="8">'Hoja 6 - J'!$A$1:$O$144</definedName>
    <definedName name="_xlnm.Print_Area" localSheetId="2">Hoja1!$B$2:$J$65</definedName>
    <definedName name="_xlnm.Print_Area" localSheetId="3">'Hoja2 - F'!$A$1:$P$139</definedName>
    <definedName name="_xlnm.Print_Area" localSheetId="5">'Hoja3 - H'!$A$1:$P$149</definedName>
    <definedName name="_xlnm.Print_Area" localSheetId="4">'Hoja4 - G'!$A$1:$O$144</definedName>
    <definedName name="_xlnm.Print_Area" localSheetId="6">'Hoja5 - I'!$A$1:$O$82</definedName>
    <definedName name="_xlnm.Print_Area" localSheetId="7">'Hoja5 (2)'!$A$1:$P$58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3" l="1"/>
  <c r="D2" i="13"/>
  <c r="E16" i="13"/>
  <c r="E2" i="13"/>
  <c r="E122" i="14"/>
  <c r="B16" i="13"/>
  <c r="F43" i="13"/>
  <c r="F16" i="13"/>
  <c r="F2" i="13"/>
  <c r="E72" i="14"/>
  <c r="F72" i="14" s="1"/>
  <c r="O111" i="3"/>
  <c r="E12" i="14"/>
  <c r="E184" i="14"/>
  <c r="E215" i="14" l="1"/>
  <c r="G2" i="13"/>
  <c r="G11" i="13"/>
  <c r="G16" i="13"/>
  <c r="G136" i="13"/>
  <c r="G137" i="13"/>
  <c r="E95" i="14" l="1"/>
  <c r="E188" i="14"/>
  <c r="E148" i="14"/>
  <c r="E147" i="14"/>
  <c r="F147" i="14" s="1"/>
  <c r="F95" i="14" l="1"/>
  <c r="E115" i="14" l="1"/>
  <c r="H115" i="14" l="1"/>
  <c r="E248" i="14"/>
  <c r="E247" i="14"/>
  <c r="E180" i="14"/>
  <c r="J23" i="13" l="1"/>
  <c r="E226" i="14"/>
  <c r="G226" i="14" l="1"/>
  <c r="F226" i="14"/>
  <c r="I226" i="14"/>
  <c r="H226" i="14"/>
  <c r="J226" i="14" l="1"/>
  <c r="N28" i="4"/>
  <c r="O28" i="3"/>
  <c r="J20" i="13" l="1"/>
  <c r="E150" i="14" l="1"/>
  <c r="E169" i="14"/>
  <c r="E179" i="14"/>
  <c r="F179" i="14" s="1"/>
  <c r="E168" i="14"/>
  <c r="E227" i="14"/>
  <c r="O20" i="7" s="1"/>
  <c r="E214" i="14" l="1"/>
  <c r="E218" i="14"/>
  <c r="N69" i="11" l="1"/>
  <c r="N68" i="11" s="1"/>
  <c r="N67" i="11"/>
  <c r="N66" i="11"/>
  <c r="N65" i="11"/>
  <c r="N64" i="11"/>
  <c r="N49" i="11"/>
  <c r="J113" i="14"/>
  <c r="I113" i="14"/>
  <c r="N28" i="11"/>
  <c r="O29" i="7"/>
  <c r="N66" i="2"/>
  <c r="N63" i="11" l="1"/>
  <c r="H4" i="14" l="1"/>
  <c r="E121" i="14" l="1"/>
  <c r="E119" i="14" s="1"/>
  <c r="F119" i="14" s="1"/>
  <c r="D304" i="14" l="1"/>
  <c r="E259" i="14" l="1"/>
  <c r="I25" i="1"/>
  <c r="I24" i="1" s="1"/>
  <c r="I27" i="1"/>
  <c r="E27" i="14"/>
  <c r="I29" i="1" s="1"/>
  <c r="O109" i="3" s="1"/>
  <c r="E263" i="14"/>
  <c r="E38" i="14"/>
  <c r="E52" i="14"/>
  <c r="E81" i="14" l="1"/>
  <c r="E66" i="14" l="1"/>
  <c r="E44" i="14"/>
  <c r="I40" i="1" s="1"/>
  <c r="I39" i="1" s="1"/>
  <c r="E73" i="14"/>
  <c r="G73" i="14" s="1"/>
  <c r="N27" i="5"/>
  <c r="N49" i="4"/>
  <c r="F113" i="14"/>
  <c r="N49" i="2" s="1"/>
  <c r="E70" i="14" l="1"/>
  <c r="E64" i="14"/>
  <c r="E61" i="14"/>
  <c r="E59" i="14" s="1"/>
  <c r="D22" i="12" l="1"/>
  <c r="D302" i="14" l="1"/>
  <c r="E286" i="14"/>
  <c r="E217" i="14" l="1"/>
  <c r="E216" i="14"/>
  <c r="E193" i="14" l="1"/>
  <c r="E155" i="14" l="1"/>
  <c r="E154" i="14" s="1"/>
  <c r="E181" i="14"/>
  <c r="D300" i="14" l="1"/>
  <c r="E258" i="14" l="1"/>
  <c r="D10" i="12" l="1"/>
  <c r="E182" i="14" l="1"/>
  <c r="E41" i="14" l="1"/>
  <c r="E40" i="14" l="1"/>
  <c r="I37" i="1"/>
  <c r="I36" i="1" s="1"/>
  <c r="E18" i="14"/>
  <c r="I19" i="1" s="1"/>
  <c r="E264" i="14"/>
  <c r="D20" i="12"/>
  <c r="D18" i="12"/>
  <c r="E246" i="14" s="1"/>
  <c r="E245" i="14" s="1"/>
  <c r="D16" i="12"/>
  <c r="D15" i="12"/>
  <c r="D14" i="12"/>
  <c r="D13" i="12"/>
  <c r="D12" i="12"/>
  <c r="D11" i="12"/>
  <c r="D8" i="12"/>
  <c r="I18" i="1" l="1"/>
  <c r="N18" i="2"/>
  <c r="O23" i="7"/>
  <c r="E262" i="14"/>
  <c r="E257" i="14" s="1"/>
  <c r="N18" i="11"/>
  <c r="N19" i="11" s="1"/>
  <c r="N18" i="4" l="1"/>
  <c r="N17" i="5"/>
  <c r="O18" i="3"/>
  <c r="I56" i="14"/>
  <c r="N21" i="5" s="1"/>
  <c r="G281" i="14"/>
  <c r="G280" i="14" s="1"/>
  <c r="G279" i="14" s="1"/>
  <c r="G274" i="14"/>
  <c r="G273" i="14" s="1"/>
  <c r="G262" i="14"/>
  <c r="G258" i="14"/>
  <c r="G229" i="14"/>
  <c r="G228" i="14"/>
  <c r="G224" i="14"/>
  <c r="G163" i="14"/>
  <c r="G113" i="14"/>
  <c r="G23" i="14"/>
  <c r="F281" i="14"/>
  <c r="F280" i="14" s="1"/>
  <c r="F279" i="14" s="1"/>
  <c r="F274" i="14"/>
  <c r="F273" i="14"/>
  <c r="F269" i="14"/>
  <c r="F258" i="14"/>
  <c r="F228" i="14"/>
  <c r="F170" i="14"/>
  <c r="F165" i="14"/>
  <c r="F131" i="14"/>
  <c r="F78" i="14"/>
  <c r="F65" i="14"/>
  <c r="E273" i="14"/>
  <c r="E268" i="14"/>
  <c r="E267" i="14" s="1"/>
  <c r="E254" i="14"/>
  <c r="E250" i="14"/>
  <c r="E229" i="14"/>
  <c r="E228" i="14" s="1"/>
  <c r="E32" i="14"/>
  <c r="J9" i="14"/>
  <c r="I5" i="14"/>
  <c r="I4" i="14"/>
  <c r="I6" i="14" s="1"/>
  <c r="H5" i="14"/>
  <c r="H6" i="14" s="1"/>
  <c r="G5" i="14"/>
  <c r="F5" i="14"/>
  <c r="H229" i="14"/>
  <c r="H228" i="14" s="1"/>
  <c r="H224" i="14"/>
  <c r="H218" i="14"/>
  <c r="H216" i="14"/>
  <c r="H215" i="14"/>
  <c r="H183" i="14"/>
  <c r="H182" i="14"/>
  <c r="H125" i="14"/>
  <c r="H117" i="14"/>
  <c r="H81" i="14"/>
  <c r="H56" i="14"/>
  <c r="O22" i="3" s="1"/>
  <c r="G216" i="14"/>
  <c r="G215" i="14"/>
  <c r="G56" i="14"/>
  <c r="N22" i="4" s="1"/>
  <c r="G125" i="14"/>
  <c r="E266" i="14" l="1"/>
  <c r="G257" i="14"/>
  <c r="F215" i="14" l="1"/>
  <c r="F216" i="14"/>
  <c r="H151" i="14"/>
  <c r="H152" i="14"/>
  <c r="H153" i="14"/>
  <c r="G151" i="14"/>
  <c r="G152" i="14"/>
  <c r="G153" i="14"/>
  <c r="F151" i="14"/>
  <c r="F152" i="14"/>
  <c r="F153" i="14"/>
  <c r="F125" i="14"/>
  <c r="F56" i="14"/>
  <c r="N22" i="2" s="1"/>
  <c r="I151" i="14" l="1"/>
  <c r="E21" i="14"/>
  <c r="E16" i="14"/>
  <c r="G36" i="14" l="1"/>
  <c r="I22" i="1"/>
  <c r="O108" i="3" s="1"/>
  <c r="L28" i="1" s="1"/>
  <c r="O25" i="7"/>
  <c r="E20" i="14"/>
  <c r="F264" i="14"/>
  <c r="F262" i="14" s="1"/>
  <c r="F257" i="14" s="1"/>
  <c r="O110" i="3" l="1"/>
  <c r="O107" i="3" s="1"/>
  <c r="I21" i="1"/>
  <c r="O22" i="7"/>
  <c r="A9" i="7" l="1"/>
  <c r="A8" i="5"/>
  <c r="A95" i="3"/>
  <c r="A9" i="4" l="1"/>
  <c r="A86" i="4"/>
  <c r="A9" i="3"/>
  <c r="O28" i="7" l="1"/>
  <c r="O27" i="7" s="1"/>
  <c r="A8" i="4" l="1"/>
  <c r="L139" i="2" l="1"/>
  <c r="L137" i="2" l="1"/>
  <c r="A138" i="2"/>
  <c r="A139" i="2"/>
  <c r="A137" i="2"/>
  <c r="O24" i="7" l="1"/>
  <c r="H168" i="14" l="1"/>
  <c r="H163" i="14" s="1"/>
  <c r="O67" i="3"/>
  <c r="E290" i="14"/>
  <c r="E283" i="14"/>
  <c r="E55" i="14"/>
  <c r="E54" i="14" s="1"/>
  <c r="I55" i="14" l="1"/>
  <c r="I54" i="14" s="1"/>
  <c r="H55" i="14"/>
  <c r="H54" i="14" s="1"/>
  <c r="G55" i="14"/>
  <c r="G54" i="14" s="1"/>
  <c r="F55" i="14"/>
  <c r="E166" i="14"/>
  <c r="E129" i="14"/>
  <c r="E106" i="14"/>
  <c r="N65" i="2" l="1"/>
  <c r="N21" i="2"/>
  <c r="N20" i="2" s="1"/>
  <c r="F54" i="14"/>
  <c r="G129" i="14"/>
  <c r="H129" i="14"/>
  <c r="F129" i="14"/>
  <c r="G52" i="14"/>
  <c r="N19" i="4" s="1"/>
  <c r="I52" i="14"/>
  <c r="E51" i="14"/>
  <c r="H52" i="14"/>
  <c r="F52" i="14"/>
  <c r="N19" i="2" s="1"/>
  <c r="F166" i="14"/>
  <c r="I66" i="14"/>
  <c r="H66" i="14"/>
  <c r="G66" i="14"/>
  <c r="G64" i="14" s="1"/>
  <c r="N25" i="4" s="1"/>
  <c r="F66" i="14"/>
  <c r="F64" i="14" s="1"/>
  <c r="H180" i="14"/>
  <c r="G180" i="14"/>
  <c r="F180" i="14"/>
  <c r="H106" i="14"/>
  <c r="G106" i="14"/>
  <c r="F106" i="14"/>
  <c r="F50" i="14" l="1"/>
  <c r="I64" i="14"/>
  <c r="N24" i="5" s="1"/>
  <c r="H64" i="14"/>
  <c r="O25" i="3" s="1"/>
  <c r="G50" i="14"/>
  <c r="N17" i="4"/>
  <c r="H50" i="14"/>
  <c r="O19" i="3"/>
  <c r="I50" i="14"/>
  <c r="N18" i="5"/>
  <c r="E187" i="14"/>
  <c r="H188" i="14"/>
  <c r="H187" i="14" s="1"/>
  <c r="G188" i="14"/>
  <c r="G187" i="14" s="1"/>
  <c r="F188" i="14"/>
  <c r="F187" i="14" s="1"/>
  <c r="E97" i="14"/>
  <c r="E96" i="14"/>
  <c r="E94" i="14" l="1"/>
  <c r="G95" i="14"/>
  <c r="H95" i="14"/>
  <c r="H97" i="14"/>
  <c r="G97" i="14"/>
  <c r="F97" i="14"/>
  <c r="H96" i="14"/>
  <c r="G96" i="14"/>
  <c r="F96" i="14"/>
  <c r="H94" i="14" l="1"/>
  <c r="G94" i="14"/>
  <c r="F94" i="14"/>
  <c r="E79" i="14" l="1"/>
  <c r="E160" i="14"/>
  <c r="H160" i="14" s="1"/>
  <c r="O64" i="3" s="1"/>
  <c r="H79" i="14" l="1"/>
  <c r="G79" i="14"/>
  <c r="F79" i="14"/>
  <c r="E29" i="14"/>
  <c r="I31" i="1" s="1"/>
  <c r="E25" i="14" l="1"/>
  <c r="I28" i="1" s="1"/>
  <c r="E204" i="14"/>
  <c r="E80" i="14"/>
  <c r="E37" i="14" l="1"/>
  <c r="I34" i="1" s="1"/>
  <c r="I33" i="1" s="1"/>
  <c r="G204" i="14"/>
  <c r="H204" i="14"/>
  <c r="F204" i="14"/>
  <c r="F80" i="14"/>
  <c r="E4" i="14" l="1"/>
  <c r="J12" i="13" s="1"/>
  <c r="G4" i="14"/>
  <c r="G6" i="14" s="1"/>
  <c r="E86" i="14"/>
  <c r="E85" i="14" s="1"/>
  <c r="F38" i="14" l="1"/>
  <c r="H86" i="14"/>
  <c r="H85" i="14" s="1"/>
  <c r="G86" i="14"/>
  <c r="G85" i="14" s="1"/>
  <c r="N34" i="4" s="1"/>
  <c r="F86" i="14"/>
  <c r="F85" i="14" s="1"/>
  <c r="N34" i="2" s="1"/>
  <c r="F4" i="14"/>
  <c r="F6" i="14" s="1"/>
  <c r="F169" i="14"/>
  <c r="N68" i="2" s="1"/>
  <c r="H121" i="14" l="1"/>
  <c r="G121" i="14"/>
  <c r="F121" i="14"/>
  <c r="E194" i="14"/>
  <c r="H119" i="14" l="1"/>
  <c r="O51" i="3" s="1"/>
  <c r="G119" i="14"/>
  <c r="D303" i="14"/>
  <c r="E103" i="14"/>
  <c r="E289" i="14"/>
  <c r="E288" i="14"/>
  <c r="E287" i="14"/>
  <c r="E285" i="14"/>
  <c r="E284" i="14"/>
  <c r="E225" i="14"/>
  <c r="E223" i="14"/>
  <c r="O18" i="7" s="1"/>
  <c r="E210" i="14"/>
  <c r="E209" i="14"/>
  <c r="E203" i="14"/>
  <c r="E197" i="14"/>
  <c r="F184" i="14"/>
  <c r="E185" i="14"/>
  <c r="F185" i="14" s="1"/>
  <c r="H181" i="14"/>
  <c r="E178" i="14"/>
  <c r="E177" i="14"/>
  <c r="E173" i="14"/>
  <c r="E172" i="14" s="1"/>
  <c r="F172" i="14" s="1"/>
  <c r="E167" i="14"/>
  <c r="E163" i="14" s="1"/>
  <c r="E161" i="14"/>
  <c r="E116" i="14"/>
  <c r="E158" i="14"/>
  <c r="E149" i="14"/>
  <c r="E146" i="14"/>
  <c r="E142" i="14"/>
  <c r="E140" i="14" s="1"/>
  <c r="E134" i="14"/>
  <c r="E130" i="14"/>
  <c r="E110" i="14"/>
  <c r="E107" i="14"/>
  <c r="E105" i="14" s="1"/>
  <c r="E102" i="14"/>
  <c r="E157" i="14" l="1"/>
  <c r="E207" i="14"/>
  <c r="E176" i="14"/>
  <c r="H116" i="14"/>
  <c r="E113" i="14"/>
  <c r="E112" i="14" s="1"/>
  <c r="H158" i="14"/>
  <c r="E144" i="14"/>
  <c r="E138" i="14" s="1"/>
  <c r="F167" i="14"/>
  <c r="N67" i="2" s="1"/>
  <c r="D306" i="14"/>
  <c r="E100" i="14"/>
  <c r="E99" i="14" s="1"/>
  <c r="E241" i="14"/>
  <c r="E242" i="14"/>
  <c r="N108" i="4" s="1"/>
  <c r="F112" i="14"/>
  <c r="N50" i="2"/>
  <c r="G112" i="14"/>
  <c r="N50" i="4"/>
  <c r="E281" i="14"/>
  <c r="I134" i="14"/>
  <c r="G134" i="14"/>
  <c r="G133" i="14" s="1"/>
  <c r="N53" i="4" s="1"/>
  <c r="H134" i="14"/>
  <c r="H133" i="14" s="1"/>
  <c r="E133" i="14"/>
  <c r="F134" i="14"/>
  <c r="F133" i="14" s="1"/>
  <c r="N53" i="2" s="1"/>
  <c r="O21" i="7"/>
  <c r="O19" i="7" s="1"/>
  <c r="F225" i="14"/>
  <c r="F224" i="14" s="1"/>
  <c r="I142" i="14"/>
  <c r="G142" i="14"/>
  <c r="G140" i="14" s="1"/>
  <c r="N56" i="4" s="1"/>
  <c r="H142" i="14"/>
  <c r="H140" i="14" s="1"/>
  <c r="F142" i="14"/>
  <c r="F140" i="14" s="1"/>
  <c r="H210" i="14"/>
  <c r="G210" i="14"/>
  <c r="F210" i="14"/>
  <c r="G110" i="14"/>
  <c r="G109" i="14" s="1"/>
  <c r="N47" i="4" s="1"/>
  <c r="H110" i="14"/>
  <c r="H109" i="14" s="1"/>
  <c r="E109" i="14"/>
  <c r="F110" i="14"/>
  <c r="F109" i="14" s="1"/>
  <c r="I146" i="14"/>
  <c r="H146" i="14"/>
  <c r="G146" i="14"/>
  <c r="F146" i="14"/>
  <c r="I150" i="14"/>
  <c r="H150" i="14"/>
  <c r="G150" i="14"/>
  <c r="F150" i="14"/>
  <c r="H161" i="14"/>
  <c r="G161" i="14"/>
  <c r="G157" i="14" s="1"/>
  <c r="F161" i="14"/>
  <c r="N63" i="2" s="1"/>
  <c r="H178" i="14"/>
  <c r="G178" i="14"/>
  <c r="F178" i="14"/>
  <c r="E196" i="14"/>
  <c r="H197" i="14"/>
  <c r="G197" i="14"/>
  <c r="F197" i="14"/>
  <c r="G214" i="14"/>
  <c r="E212" i="14"/>
  <c r="F212" i="14" s="1"/>
  <c r="H214" i="14"/>
  <c r="F214" i="14"/>
  <c r="H73" i="14"/>
  <c r="G70" i="14"/>
  <c r="G69" i="14" s="1"/>
  <c r="F73" i="14"/>
  <c r="H107" i="14"/>
  <c r="H105" i="14" s="1"/>
  <c r="G107" i="14"/>
  <c r="G105" i="14" s="1"/>
  <c r="F107" i="14"/>
  <c r="F105" i="14" s="1"/>
  <c r="I148" i="14"/>
  <c r="H148" i="14"/>
  <c r="G148" i="14"/>
  <c r="F148" i="14"/>
  <c r="H209" i="14"/>
  <c r="G209" i="14"/>
  <c r="F209" i="14"/>
  <c r="H113" i="14"/>
  <c r="I149" i="14"/>
  <c r="H149" i="14"/>
  <c r="G149" i="14"/>
  <c r="F149" i="14"/>
  <c r="F177" i="14"/>
  <c r="G102" i="14"/>
  <c r="H102" i="14"/>
  <c r="F102" i="14"/>
  <c r="H130" i="14"/>
  <c r="H127" i="14" s="1"/>
  <c r="G130" i="14"/>
  <c r="G127" i="14" s="1"/>
  <c r="F130" i="14"/>
  <c r="F127" i="14" s="1"/>
  <c r="E127" i="14"/>
  <c r="H147" i="14"/>
  <c r="G147" i="14"/>
  <c r="I147" i="14"/>
  <c r="G155" i="14"/>
  <c r="N60" i="4" s="1"/>
  <c r="H155" i="14"/>
  <c r="O61" i="3" s="1"/>
  <c r="F155" i="14"/>
  <c r="N61" i="2" s="1"/>
  <c r="H203" i="14"/>
  <c r="G203" i="14"/>
  <c r="E201" i="14"/>
  <c r="F203" i="14"/>
  <c r="E222" i="14"/>
  <c r="G103" i="14"/>
  <c r="H103" i="14"/>
  <c r="F103" i="14"/>
  <c r="E92" i="14"/>
  <c r="E83" i="14"/>
  <c r="E82" i="14"/>
  <c r="N57" i="2" l="1"/>
  <c r="F124" i="14"/>
  <c r="E175" i="14"/>
  <c r="E206" i="14"/>
  <c r="E124" i="14"/>
  <c r="F163" i="14"/>
  <c r="N64" i="2" s="1"/>
  <c r="N109" i="4"/>
  <c r="N59" i="2"/>
  <c r="E280" i="14"/>
  <c r="E279" i="14" s="1"/>
  <c r="O113" i="3"/>
  <c r="H112" i="14"/>
  <c r="O50" i="3"/>
  <c r="H124" i="14"/>
  <c r="H207" i="14"/>
  <c r="F100" i="14"/>
  <c r="F99" i="14" s="1"/>
  <c r="N43" i="2" s="1"/>
  <c r="G61" i="14"/>
  <c r="G59" i="14" s="1"/>
  <c r="I61" i="14"/>
  <c r="H61" i="14"/>
  <c r="F61" i="14"/>
  <c r="F60" i="14" s="1"/>
  <c r="E50" i="14"/>
  <c r="G92" i="14"/>
  <c r="G90" i="14" s="1"/>
  <c r="E90" i="14"/>
  <c r="H92" i="14"/>
  <c r="H90" i="14" s="1"/>
  <c r="F92" i="14"/>
  <c r="F90" i="14" s="1"/>
  <c r="H201" i="14"/>
  <c r="H200" i="14" s="1"/>
  <c r="G201" i="14"/>
  <c r="G200" i="14" s="1"/>
  <c r="E200" i="14"/>
  <c r="F201" i="14"/>
  <c r="F200" i="14" s="1"/>
  <c r="H144" i="14"/>
  <c r="H138" i="14" s="1"/>
  <c r="E69" i="14"/>
  <c r="E221" i="14"/>
  <c r="E220" i="14" s="1"/>
  <c r="G222" i="14"/>
  <c r="G221" i="14" s="1"/>
  <c r="G220" i="14" s="1"/>
  <c r="H222" i="14"/>
  <c r="H221" i="14" s="1"/>
  <c r="H220" i="14" s="1"/>
  <c r="F222" i="14"/>
  <c r="F221" i="14" s="1"/>
  <c r="F220" i="14" s="1"/>
  <c r="G196" i="14"/>
  <c r="N98" i="4" s="1"/>
  <c r="H196" i="14"/>
  <c r="O76" i="3" s="1"/>
  <c r="F196" i="14"/>
  <c r="N103" i="2" s="1"/>
  <c r="G82" i="14"/>
  <c r="H82" i="14"/>
  <c r="F82" i="14"/>
  <c r="E77" i="14"/>
  <c r="E76" i="14"/>
  <c r="H83" i="14"/>
  <c r="G83" i="14"/>
  <c r="F83" i="14"/>
  <c r="G124" i="14"/>
  <c r="G100" i="14"/>
  <c r="G99" i="14" s="1"/>
  <c r="G207" i="14"/>
  <c r="G144" i="14"/>
  <c r="G138" i="14" s="1"/>
  <c r="H212" i="14"/>
  <c r="G212" i="14"/>
  <c r="H100" i="14"/>
  <c r="H99" i="14" s="1"/>
  <c r="H176" i="14"/>
  <c r="G176" i="14"/>
  <c r="F176" i="14"/>
  <c r="F207" i="14"/>
  <c r="F206" i="14" s="1"/>
  <c r="F144" i="14"/>
  <c r="F138" i="14" s="1"/>
  <c r="N55" i="4"/>
  <c r="E89" i="14" l="1"/>
  <c r="F175" i="14"/>
  <c r="N72" i="2" s="1"/>
  <c r="N71" i="2" s="1"/>
  <c r="F157" i="14"/>
  <c r="G175" i="14"/>
  <c r="N64" i="4" s="1"/>
  <c r="F70" i="14"/>
  <c r="F69" i="14" s="1"/>
  <c r="N28" i="2"/>
  <c r="I59" i="14"/>
  <c r="N22" i="5"/>
  <c r="H59" i="14"/>
  <c r="O23" i="3"/>
  <c r="H206" i="14"/>
  <c r="G77" i="14"/>
  <c r="G76" i="14" s="1"/>
  <c r="G75" i="14" s="1"/>
  <c r="G49" i="14" s="1"/>
  <c r="G206" i="14"/>
  <c r="F76" i="14"/>
  <c r="F75" i="14" s="1"/>
  <c r="F77" i="14"/>
  <c r="H175" i="14"/>
  <c r="O69" i="3" s="1"/>
  <c r="G89" i="14" l="1"/>
  <c r="F49" i="14"/>
  <c r="I290" i="14"/>
  <c r="I289" i="14"/>
  <c r="J289" i="14" s="1"/>
  <c r="I288" i="14"/>
  <c r="I287" i="14"/>
  <c r="I286" i="14"/>
  <c r="I285" i="14"/>
  <c r="I284" i="14"/>
  <c r="I283" i="14"/>
  <c r="H281" i="14"/>
  <c r="H280" i="14" s="1"/>
  <c r="H279" i="14" s="1"/>
  <c r="H276" i="14"/>
  <c r="H274" i="14" s="1"/>
  <c r="H273" i="14" s="1"/>
  <c r="H266" i="14" s="1"/>
  <c r="I274" i="14"/>
  <c r="I273" i="14" s="1"/>
  <c r="I266" i="14" s="1"/>
  <c r="I262" i="14"/>
  <c r="H262" i="14"/>
  <c r="H259" i="14"/>
  <c r="H258" i="14" s="1"/>
  <c r="I258" i="14"/>
  <c r="I229" i="14"/>
  <c r="I228" i="14" s="1"/>
  <c r="I224" i="14"/>
  <c r="I218" i="14"/>
  <c r="I214" i="14"/>
  <c r="I213" i="14"/>
  <c r="J213" i="14" s="1"/>
  <c r="N104" i="4"/>
  <c r="I210" i="14"/>
  <c r="I209" i="14"/>
  <c r="I203" i="14"/>
  <c r="I197" i="14"/>
  <c r="I196" i="14"/>
  <c r="N69" i="5" s="1"/>
  <c r="E192" i="14"/>
  <c r="E191" i="14" s="1"/>
  <c r="E186" i="14" s="1"/>
  <c r="I188" i="14"/>
  <c r="N65" i="5" s="1"/>
  <c r="N99" i="2"/>
  <c r="I180" i="14"/>
  <c r="I178" i="14"/>
  <c r="I176" i="14"/>
  <c r="I163" i="14"/>
  <c r="I161" i="14"/>
  <c r="N60" i="5" s="1"/>
  <c r="O65" i="3"/>
  <c r="N62" i="4"/>
  <c r="I155" i="14"/>
  <c r="N58" i="5" s="1"/>
  <c r="O59" i="3"/>
  <c r="O57" i="3"/>
  <c r="N56" i="2"/>
  <c r="I133" i="14"/>
  <c r="N51" i="5" s="1"/>
  <c r="I130" i="14"/>
  <c r="I129" i="14"/>
  <c r="I121" i="14"/>
  <c r="I110" i="14"/>
  <c r="N47" i="2"/>
  <c r="I107" i="14"/>
  <c r="I106" i="14"/>
  <c r="I103" i="14"/>
  <c r="I102" i="14"/>
  <c r="J101" i="14"/>
  <c r="J98" i="14"/>
  <c r="I97" i="14"/>
  <c r="N40" i="5" s="1"/>
  <c r="O42" i="3"/>
  <c r="N41" i="4"/>
  <c r="I96" i="14"/>
  <c r="N39" i="5" s="1"/>
  <c r="O41" i="3"/>
  <c r="N40" i="4"/>
  <c r="O40" i="3"/>
  <c r="I92" i="14"/>
  <c r="N36" i="5" s="1"/>
  <c r="O38" i="3"/>
  <c r="N37" i="4"/>
  <c r="N37" i="2"/>
  <c r="I86" i="14"/>
  <c r="O34" i="3"/>
  <c r="O33" i="3" s="1"/>
  <c r="N33" i="4"/>
  <c r="I83" i="14"/>
  <c r="I82" i="14"/>
  <c r="I80" i="14"/>
  <c r="I79" i="14"/>
  <c r="I78" i="14"/>
  <c r="I73" i="14"/>
  <c r="N23" i="2"/>
  <c r="N20" i="5"/>
  <c r="O21" i="3"/>
  <c r="O20" i="3" s="1"/>
  <c r="N21" i="4"/>
  <c r="N20" i="4" s="1"/>
  <c r="N28" i="5" l="1"/>
  <c r="N26" i="5" s="1"/>
  <c r="I70" i="14"/>
  <c r="I69" i="14" s="1"/>
  <c r="I207" i="14"/>
  <c r="N74" i="5" s="1"/>
  <c r="H192" i="14"/>
  <c r="H191" i="14" s="1"/>
  <c r="H186" i="14" s="1"/>
  <c r="G192" i="14"/>
  <c r="G191" i="14" s="1"/>
  <c r="G186" i="14" s="1"/>
  <c r="F192" i="14"/>
  <c r="F191" i="14" s="1"/>
  <c r="F186" i="14" s="1"/>
  <c r="I187" i="14"/>
  <c r="N94" i="4"/>
  <c r="O72" i="3"/>
  <c r="O60" i="3"/>
  <c r="I127" i="14"/>
  <c r="N50" i="5" s="1"/>
  <c r="I105" i="14"/>
  <c r="N58" i="4"/>
  <c r="N59" i="4"/>
  <c r="N43" i="4"/>
  <c r="N42" i="4" s="1"/>
  <c r="J106" i="14"/>
  <c r="I109" i="14"/>
  <c r="N46" i="5" s="1"/>
  <c r="N56" i="5"/>
  <c r="N108" i="2"/>
  <c r="N103" i="4"/>
  <c r="O81" i="3"/>
  <c r="O63" i="3"/>
  <c r="N70" i="2"/>
  <c r="H257" i="14"/>
  <c r="I192" i="14"/>
  <c r="I191" i="14" s="1"/>
  <c r="N67" i="5" s="1"/>
  <c r="N57" i="5"/>
  <c r="I119" i="14"/>
  <c r="O53" i="3"/>
  <c r="N52" i="4"/>
  <c r="O46" i="3"/>
  <c r="O45" i="3" s="1"/>
  <c r="N25" i="2"/>
  <c r="J197" i="14"/>
  <c r="N29" i="4"/>
  <c r="I153" i="14"/>
  <c r="O79" i="3"/>
  <c r="N106" i="2"/>
  <c r="N105" i="2" s="1"/>
  <c r="N104" i="2" s="1"/>
  <c r="H70" i="14"/>
  <c r="H69" i="14" s="1"/>
  <c r="O29" i="3"/>
  <c r="I201" i="14"/>
  <c r="I200" i="14" s="1"/>
  <c r="N72" i="5" s="1"/>
  <c r="N23" i="4"/>
  <c r="J81" i="14"/>
  <c r="H77" i="14"/>
  <c r="O32" i="3" s="1"/>
  <c r="O31" i="3" s="1"/>
  <c r="I85" i="14"/>
  <c r="N33" i="5" s="1"/>
  <c r="O112" i="3"/>
  <c r="O17" i="3"/>
  <c r="O48" i="3"/>
  <c r="J142" i="14"/>
  <c r="I281" i="14"/>
  <c r="I280" i="14" s="1"/>
  <c r="I279" i="14" s="1"/>
  <c r="J80" i="14"/>
  <c r="N45" i="4"/>
  <c r="O54" i="3"/>
  <c r="N101" i="4"/>
  <c r="I215" i="14"/>
  <c r="I257" i="14"/>
  <c r="I77" i="14"/>
  <c r="I152" i="14"/>
  <c r="J82" i="14"/>
  <c r="N39" i="4"/>
  <c r="N36" i="4" s="1"/>
  <c r="I95" i="14"/>
  <c r="N38" i="5" s="1"/>
  <c r="N45" i="2"/>
  <c r="J147" i="14"/>
  <c r="N60" i="2"/>
  <c r="N58" i="2" s="1"/>
  <c r="J150" i="14"/>
  <c r="J203" i="14"/>
  <c r="O82" i="3"/>
  <c r="J214" i="14"/>
  <c r="J83" i="14"/>
  <c r="J130" i="14"/>
  <c r="I140" i="14"/>
  <c r="N54" i="5" s="1"/>
  <c r="I157" i="14"/>
  <c r="J210" i="14"/>
  <c r="J73" i="14"/>
  <c r="J70" i="14" s="1"/>
  <c r="N29" i="11" s="1"/>
  <c r="N29" i="2"/>
  <c r="J96" i="14"/>
  <c r="N40" i="11" s="1"/>
  <c r="N40" i="2"/>
  <c r="J97" i="14"/>
  <c r="N41" i="11" s="1"/>
  <c r="N41" i="2"/>
  <c r="N48" i="4"/>
  <c r="J155" i="14"/>
  <c r="N60" i="11" s="1"/>
  <c r="J188" i="14"/>
  <c r="N105" i="11" s="1"/>
  <c r="N104" i="11" s="1"/>
  <c r="I204" i="14"/>
  <c r="I212" i="14"/>
  <c r="N75" i="5" s="1"/>
  <c r="I216" i="14"/>
  <c r="J79" i="14"/>
  <c r="J102" i="14"/>
  <c r="J110" i="14"/>
  <c r="I222" i="14"/>
  <c r="I221" i="14" s="1"/>
  <c r="I220" i="14" s="1"/>
  <c r="J55" i="14"/>
  <c r="N21" i="11" s="1"/>
  <c r="J61" i="14"/>
  <c r="N23" i="11" s="1"/>
  <c r="J146" i="14"/>
  <c r="J148" i="14"/>
  <c r="J178" i="14"/>
  <c r="J56" i="14"/>
  <c r="N22" i="11" s="1"/>
  <c r="J92" i="14"/>
  <c r="N37" i="11" s="1"/>
  <c r="J134" i="14"/>
  <c r="J133" i="14" s="1"/>
  <c r="N53" i="11" s="1"/>
  <c r="J180" i="14"/>
  <c r="J52" i="14"/>
  <c r="J103" i="14"/>
  <c r="J149" i="14"/>
  <c r="J209" i="14"/>
  <c r="J66" i="14"/>
  <c r="N25" i="11" s="1"/>
  <c r="N32" i="2"/>
  <c r="J121" i="14"/>
  <c r="I125" i="14"/>
  <c r="J161" i="14"/>
  <c r="N62" i="11" s="1"/>
  <c r="J86" i="14"/>
  <c r="I100" i="14"/>
  <c r="I99" i="14" s="1"/>
  <c r="N42" i="5" s="1"/>
  <c r="J107" i="14"/>
  <c r="J129" i="14"/>
  <c r="I76" i="14" l="1"/>
  <c r="I75" i="14" s="1"/>
  <c r="I49" i="14" s="1"/>
  <c r="N31" i="5"/>
  <c r="N54" i="2"/>
  <c r="N57" i="4"/>
  <c r="N54" i="4" s="1"/>
  <c r="I112" i="14"/>
  <c r="N48" i="5"/>
  <c r="N47" i="5" s="1"/>
  <c r="N59" i="11"/>
  <c r="N58" i="11"/>
  <c r="N44" i="5"/>
  <c r="N43" i="5" s="1"/>
  <c r="N96" i="4"/>
  <c r="N101" i="2"/>
  <c r="J187" i="14"/>
  <c r="I124" i="14"/>
  <c r="J99" i="14"/>
  <c r="N43" i="11" s="1"/>
  <c r="F156" i="14"/>
  <c r="J127" i="14"/>
  <c r="N52" i="11" s="1"/>
  <c r="J207" i="14"/>
  <c r="N114" i="11" s="1"/>
  <c r="O44" i="3"/>
  <c r="J196" i="14"/>
  <c r="N109" i="11" s="1"/>
  <c r="O49" i="3"/>
  <c r="I206" i="14"/>
  <c r="I186" i="14" s="1"/>
  <c r="J140" i="14"/>
  <c r="N56" i="11" s="1"/>
  <c r="N55" i="11" s="1"/>
  <c r="J144" i="14"/>
  <c r="I144" i="14"/>
  <c r="I138" i="14" s="1"/>
  <c r="N109" i="2"/>
  <c r="J105" i="14"/>
  <c r="N45" i="11" s="1"/>
  <c r="N32" i="4"/>
  <c r="H76" i="14"/>
  <c r="H75" i="14" s="1"/>
  <c r="H49" i="14" s="1"/>
  <c r="J50" i="14"/>
  <c r="J157" i="14"/>
  <c r="J59" i="14"/>
  <c r="J69" i="14"/>
  <c r="J64" i="14"/>
  <c r="J109" i="14"/>
  <c r="N47" i="11" s="1"/>
  <c r="I94" i="14"/>
  <c r="I90" i="14" s="1"/>
  <c r="J85" i="14"/>
  <c r="N34" i="11" s="1"/>
  <c r="G156" i="14"/>
  <c r="I175" i="14"/>
  <c r="N62" i="5" s="1"/>
  <c r="J201" i="14"/>
  <c r="N52" i="2"/>
  <c r="N51" i="2" s="1"/>
  <c r="N39" i="2"/>
  <c r="J77" i="14"/>
  <c r="N32" i="11" s="1"/>
  <c r="J176" i="14"/>
  <c r="J119" i="14"/>
  <c r="J192" i="14"/>
  <c r="J212" i="14"/>
  <c r="N115" i="11" s="1"/>
  <c r="J95" i="14"/>
  <c r="N39" i="11" s="1"/>
  <c r="N38" i="11" s="1"/>
  <c r="J222" i="14"/>
  <c r="J221" i="14" s="1"/>
  <c r="J220" i="14" s="1"/>
  <c r="J54" i="14"/>
  <c r="J100" i="14"/>
  <c r="N50" i="11" l="1"/>
  <c r="J112" i="14"/>
  <c r="I156" i="14"/>
  <c r="N42" i="11"/>
  <c r="F89" i="14"/>
  <c r="H157" i="14"/>
  <c r="H156" i="14" s="1"/>
  <c r="G8" i="14"/>
  <c r="I89" i="14"/>
  <c r="J206" i="14"/>
  <c r="J138" i="14"/>
  <c r="J124" i="14"/>
  <c r="O74" i="3"/>
  <c r="J76" i="14"/>
  <c r="J75" i="14" s="1"/>
  <c r="J94" i="14"/>
  <c r="J90" i="14" s="1"/>
  <c r="J200" i="14"/>
  <c r="N112" i="11" s="1"/>
  <c r="J191" i="14"/>
  <c r="N107" i="11" s="1"/>
  <c r="J175" i="14"/>
  <c r="N71" i="11" s="1"/>
  <c r="I8" i="14" l="1"/>
  <c r="I88" i="14"/>
  <c r="J156" i="14"/>
  <c r="J49" i="14"/>
  <c r="E75" i="14"/>
  <c r="E49" i="14" s="1"/>
  <c r="E8" i="14" s="1"/>
  <c r="D307" i="14" s="1"/>
  <c r="D308" i="14" s="1"/>
  <c r="J8" i="13" s="1"/>
  <c r="H89" i="14"/>
  <c r="H8" i="14" s="1"/>
  <c r="J89" i="14"/>
  <c r="J88" i="14" s="1"/>
  <c r="J186" i="14"/>
  <c r="J8" i="14" l="1"/>
  <c r="J10" i="14" s="1"/>
  <c r="D44" i="12"/>
  <c r="D43" i="12"/>
  <c r="D42" i="12"/>
  <c r="D37" i="12"/>
  <c r="D35" i="12"/>
  <c r="D33" i="12"/>
  <c r="D31" i="12"/>
  <c r="D29" i="12"/>
  <c r="D27" i="12"/>
  <c r="D25" i="12"/>
  <c r="G246" i="14"/>
  <c r="F8" i="14" l="1"/>
  <c r="D46" i="12"/>
  <c r="D39" i="12"/>
  <c r="N38" i="2"/>
  <c r="O24" i="3" l="1"/>
  <c r="O16" i="3" s="1"/>
  <c r="E243" i="14" l="1"/>
  <c r="E240" i="14" s="1"/>
  <c r="E239" i="14" s="1"/>
  <c r="E237" i="14" s="1"/>
  <c r="E9" i="14" s="1"/>
  <c r="E10" i="14" s="1"/>
  <c r="F242" i="14"/>
  <c r="G242" i="14"/>
  <c r="H242" i="14"/>
  <c r="F241" i="14"/>
  <c r="H241" i="14"/>
  <c r="G241" i="14"/>
  <c r="N111" i="11"/>
  <c r="N110" i="11" s="1"/>
  <c r="N108" i="11"/>
  <c r="N106" i="11"/>
  <c r="N70" i="11"/>
  <c r="N51" i="11"/>
  <c r="N48" i="11"/>
  <c r="N46" i="11"/>
  <c r="N44" i="11"/>
  <c r="N33" i="11"/>
  <c r="N31" i="11"/>
  <c r="N30" i="11" s="1"/>
  <c r="N27" i="11"/>
  <c r="N26" i="11" s="1"/>
  <c r="N24" i="11"/>
  <c r="N20" i="11"/>
  <c r="O17" i="7"/>
  <c r="O16" i="7" s="1"/>
  <c r="N61" i="5"/>
  <c r="N59" i="5" s="1"/>
  <c r="N73" i="5"/>
  <c r="N71" i="5"/>
  <c r="N70" i="5" s="1"/>
  <c r="N68" i="5"/>
  <c r="N66" i="5"/>
  <c r="N64" i="5"/>
  <c r="N53" i="5"/>
  <c r="N45" i="5"/>
  <c r="N41" i="5"/>
  <c r="N37" i="5"/>
  <c r="N32" i="5"/>
  <c r="N30" i="5"/>
  <c r="N29" i="5" s="1"/>
  <c r="N25" i="5"/>
  <c r="N23" i="5"/>
  <c r="N110" i="4" l="1"/>
  <c r="N107" i="4" s="1"/>
  <c r="H243" i="14"/>
  <c r="H240" i="14" s="1"/>
  <c r="H239" i="14" s="1"/>
  <c r="H237" i="14" s="1"/>
  <c r="H9" i="14" s="1"/>
  <c r="H10" i="14" s="1"/>
  <c r="G243" i="14"/>
  <c r="G240" i="14" s="1"/>
  <c r="G239" i="14" s="1"/>
  <c r="G237" i="14" s="1"/>
  <c r="G9" i="14" s="1"/>
  <c r="G10" i="14" s="1"/>
  <c r="F243" i="14"/>
  <c r="I242" i="14"/>
  <c r="I241" i="14"/>
  <c r="O15" i="7"/>
  <c r="O41" i="7" s="1"/>
  <c r="N17" i="11"/>
  <c r="N16" i="11" s="1"/>
  <c r="N15" i="11" s="1"/>
  <c r="N113" i="11"/>
  <c r="N103" i="11" s="1"/>
  <c r="N55" i="5"/>
  <c r="N52" i="5" s="1"/>
  <c r="N35" i="5"/>
  <c r="N49" i="5"/>
  <c r="N63" i="5"/>
  <c r="N36" i="11"/>
  <c r="N57" i="11"/>
  <c r="N54" i="11" s="1"/>
  <c r="N61" i="11"/>
  <c r="O56" i="3"/>
  <c r="O27" i="3"/>
  <c r="O26" i="3" s="1"/>
  <c r="N33" i="2"/>
  <c r="N24" i="2"/>
  <c r="F240" i="14" l="1"/>
  <c r="F239" i="14" s="1"/>
  <c r="F237" i="14" s="1"/>
  <c r="F9" i="14" s="1"/>
  <c r="F10" i="14" s="1"/>
  <c r="I243" i="14"/>
  <c r="I240" i="14" s="1"/>
  <c r="I239" i="14" s="1"/>
  <c r="I237" i="14" s="1"/>
  <c r="I9" i="14" s="1"/>
  <c r="I10" i="14" s="1"/>
  <c r="N34" i="5"/>
  <c r="N35" i="11"/>
  <c r="N128" i="11" s="1"/>
  <c r="N107" i="2"/>
  <c r="F11" i="14" l="1"/>
  <c r="N48" i="2"/>
  <c r="N100" i="2" l="1"/>
  <c r="O39" i="3"/>
  <c r="O106" i="3" l="1"/>
  <c r="O52" i="3"/>
  <c r="N44" i="2"/>
  <c r="N51" i="4" l="1"/>
  <c r="N63" i="4"/>
  <c r="N61" i="4" s="1"/>
  <c r="O58" i="3"/>
  <c r="O55" i="3" l="1"/>
  <c r="M149" i="3" l="1"/>
  <c r="L144" i="4" s="1"/>
  <c r="L82" i="5" s="1"/>
  <c r="L144" i="11" s="1"/>
  <c r="M147" i="3"/>
  <c r="L142" i="4" s="1"/>
  <c r="L80" i="5" s="1"/>
  <c r="L142" i="11" s="1"/>
  <c r="M56" i="7" l="1"/>
  <c r="M58" i="7"/>
  <c r="Q58" i="11"/>
  <c r="N17" i="2" l="1"/>
  <c r="N16" i="2" s="1"/>
  <c r="M5" i="5" l="1"/>
  <c r="M6" i="11" s="1"/>
  <c r="M93" i="11" s="1"/>
  <c r="N6" i="7" s="1"/>
  <c r="N19" i="5" l="1"/>
  <c r="O128" i="11" l="1"/>
  <c r="A9" i="11"/>
  <c r="A96" i="11" s="1"/>
  <c r="A8" i="11"/>
  <c r="A95" i="11" s="1"/>
  <c r="A147" i="3" l="1"/>
  <c r="A142" i="4" s="1"/>
  <c r="A80" i="5" s="1"/>
  <c r="A56" i="7" s="1"/>
  <c r="A142" i="11" s="1"/>
  <c r="N95" i="4" l="1"/>
  <c r="A149" i="3"/>
  <c r="A144" i="4" s="1"/>
  <c r="A82" i="5" s="1"/>
  <c r="D58" i="7" l="1"/>
  <c r="A144" i="11"/>
  <c r="O80" i="3" l="1"/>
  <c r="O66" i="3" l="1"/>
  <c r="O68" i="3" l="1"/>
  <c r="O62" i="3" s="1"/>
  <c r="N44" i="4" l="1"/>
  <c r="O78" i="3" l="1"/>
  <c r="N100" i="4"/>
  <c r="N99" i="4" s="1"/>
  <c r="N102" i="2" l="1"/>
  <c r="N38" i="4" l="1"/>
  <c r="N27" i="4"/>
  <c r="N26" i="4" s="1"/>
  <c r="N36" i="2"/>
  <c r="N69" i="2"/>
  <c r="N62" i="2" s="1"/>
  <c r="A9" i="2" l="1"/>
  <c r="A91" i="2" s="1"/>
  <c r="N42" i="2" l="1"/>
  <c r="A8" i="2" l="1"/>
  <c r="A90" i="2" s="1"/>
  <c r="A8" i="3" s="1"/>
  <c r="A94" i="3" s="1"/>
  <c r="A7" i="5" l="1"/>
  <c r="A8" i="7" s="1"/>
  <c r="A85" i="4"/>
  <c r="O37" i="3" l="1"/>
  <c r="O47" i="3" l="1"/>
  <c r="N106" i="4" l="1"/>
  <c r="N27" i="2" l="1"/>
  <c r="N26" i="2" s="1"/>
  <c r="N24" i="4" l="1"/>
  <c r="N16" i="4" s="1"/>
  <c r="O30" i="3" l="1"/>
  <c r="O15" i="3" s="1"/>
  <c r="N31" i="4"/>
  <c r="N30" i="4" s="1"/>
  <c r="N15" i="4" s="1"/>
  <c r="N31" i="2" l="1"/>
  <c r="N30" i="2" s="1"/>
  <c r="N15" i="2" s="1"/>
  <c r="N46" i="2" l="1"/>
  <c r="N35" i="2" s="1"/>
  <c r="O43" i="3" l="1"/>
  <c r="O36" i="3" s="1"/>
  <c r="O73" i="3"/>
  <c r="O75" i="3"/>
  <c r="O77" i="3"/>
  <c r="N98" i="2"/>
  <c r="N97" i="2" s="1"/>
  <c r="N46" i="4"/>
  <c r="N35" i="4" s="1"/>
  <c r="N97" i="4"/>
  <c r="N102" i="4"/>
  <c r="N93" i="4"/>
  <c r="O71" i="3"/>
  <c r="O122" i="2"/>
  <c r="P103" i="3"/>
  <c r="P102" i="3" s="1"/>
  <c r="P16" i="3"/>
  <c r="P20" i="3"/>
  <c r="P33" i="3"/>
  <c r="P37" i="3"/>
  <c r="P43" i="3"/>
  <c r="P45" i="3"/>
  <c r="P47" i="3"/>
  <c r="P49" i="3"/>
  <c r="P52" i="3"/>
  <c r="P55" i="3"/>
  <c r="P62" i="3"/>
  <c r="P73" i="3"/>
  <c r="P75" i="3"/>
  <c r="P80" i="3"/>
  <c r="P71" i="3"/>
  <c r="O103" i="3"/>
  <c r="O102" i="3" s="1"/>
  <c r="O95" i="4"/>
  <c r="O97" i="4"/>
  <c r="O99" i="4"/>
  <c r="O102" i="4"/>
  <c r="O16" i="4"/>
  <c r="O33" i="4"/>
  <c r="O36" i="4"/>
  <c r="O42" i="4"/>
  <c r="O44" i="4"/>
  <c r="O46" i="4"/>
  <c r="O48" i="4"/>
  <c r="O50" i="4"/>
  <c r="O54" i="4"/>
  <c r="N122" i="2" l="1"/>
  <c r="O70" i="3"/>
  <c r="O137" i="3" s="1"/>
  <c r="N92" i="4"/>
  <c r="N128" i="4" s="1"/>
  <c r="P15" i="3"/>
  <c r="P36" i="3"/>
  <c r="P70" i="3"/>
  <c r="O92" i="4"/>
  <c r="N16" i="5" l="1"/>
  <c r="N15" i="5" l="1"/>
  <c r="N14" i="5" l="1"/>
  <c r="E46" i="14"/>
  <c r="I43" i="1" s="1"/>
  <c r="N76" i="5" l="1"/>
  <c r="I42" i="1"/>
  <c r="I53" i="1" s="1"/>
  <c r="E43" i="14"/>
  <c r="J16" i="13" l="1"/>
  <c r="O43" i="7"/>
  <c r="O44" i="7" s="1"/>
  <c r="E5" i="14"/>
  <c r="E6" i="14" s="1"/>
  <c r="E11" i="14" l="1"/>
  <c r="J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</authors>
  <commentList>
    <comment ref="O10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DESEMBOLSOS</t>
        </r>
      </text>
    </comment>
    <comment ref="O11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TASA 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</authors>
  <commentList>
    <comment ref="O2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valor con el que se cuadra (arriba o abajo)</t>
        </r>
      </text>
    </comment>
    <comment ref="O2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va si es un incremento, si es disminucion va en la hoja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  <author>Edwin Liriano</author>
  </authors>
  <commentList>
    <comment ref="E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total de ingresos o error</t>
        </r>
      </text>
    </comment>
    <comment ref="E1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ayuda del gobierno central</t>
        </r>
      </text>
    </comment>
    <comment ref="E2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Parte mensual del presupuesto anual</t>
        </r>
      </text>
    </comment>
    <comment ref="E27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intereses financieros por cartera de credito</t>
        </r>
      </text>
    </comment>
    <comment ref="E29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comisiones por servicios
(Ingreso)</t>
        </r>
      </text>
    </comment>
    <comment ref="E37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total de ingresos
- intereses
- transferencias de la adm general</t>
        </r>
      </text>
    </comment>
    <comment ref="E41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Total Cobros Ejecutado por el mes</t>
        </r>
      </text>
    </comment>
    <comment ref="E46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 xml:space="preserve">aquí se pone el valor para cuadrar,pa que las entredas y salida esten iguales.
Fila 264
</t>
        </r>
      </text>
    </comment>
    <comment ref="F47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numero de pagina en el otro excel</t>
        </r>
      </text>
    </comment>
    <comment ref="E52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Personal Permanente</t>
        </r>
      </text>
    </comment>
    <comment ref="E55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Temporero</t>
        </r>
      </text>
    </comment>
    <comment ref="E61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Regalias Pascual</t>
        </r>
      </text>
    </comment>
    <comment ref="E66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Prestaciones laborables</t>
        </r>
      </text>
    </comment>
    <comment ref="E72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Refrigerios</t>
        </r>
      </text>
    </comment>
    <comment ref="E73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Vacaciones</t>
        </r>
      </text>
    </comment>
    <comment ref="E79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GEBNERALES
Compensación por uso de vehiculos</t>
        </r>
      </text>
    </comment>
    <comment ref="E82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DE PERSONAL
Actividades Social</t>
        </r>
      </text>
    </comment>
    <comment ref="E83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DE PERSONAL
Gastos diversos del personal</t>
        </r>
      </text>
    </comment>
    <comment ref="E86" authorId="0" shapeId="0" xr:uid="{00000000-0006-0000-0900-00001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Aportes pensiones del personal</t>
        </r>
      </text>
    </comment>
    <comment ref="E92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REP. MAT. P/EQUIPOS DE TRANSPORTE
Telefono, Tele, Fax</t>
        </r>
      </text>
    </comment>
    <comment ref="E95" authorId="0" shapeId="0" xr:uid="{00000000-0006-0000-0900-00001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Balance de comprobación consolidad
Debito - credito
cuenta: 534.04.1.03</t>
        </r>
      </text>
    </comment>
    <comment ref="E96" authorId="0" shapeId="0" xr:uid="{00000000-0006-0000-0900-00001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534.04.1.01</t>
        </r>
      </text>
    </comment>
    <comment ref="E102" authorId="0" shapeId="0" xr:uid="{00000000-0006-0000-0900-00001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PROPAGANDA Y PUBLICIDAD</t>
        </r>
      </text>
    </comment>
    <comment ref="E103" authorId="0" shapeId="0" xr:uid="{00000000-0006-0000-0900-000018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DIVERSOS
Subscripciones y afiliaciones</t>
        </r>
      </text>
    </comment>
    <comment ref="E106" authorId="0" shapeId="0" xr:uid="{00000000-0006-0000-0900-00001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Viaticos</t>
        </r>
      </text>
    </comment>
    <comment ref="E107" authorId="0" shapeId="0" xr:uid="{00000000-0006-0000-0900-00001A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Viaticos Directorio ejecutivo</t>
        </r>
      </text>
    </comment>
    <comment ref="E110" authorId="0" shapeId="0" xr:uid="{00000000-0006-0000-0900-00001B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PASAJES Y FLETES</t>
        </r>
      </text>
    </comment>
    <comment ref="E115" authorId="0" shapeId="0" xr:uid="{00000000-0006-0000-0900-00001C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Renta en casas</t>
        </r>
      </text>
    </comment>
    <comment ref="E116" authorId="0" shapeId="0" xr:uid="{00000000-0006-0000-0900-00001D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ARRENDAMIENTO DE INMUEBLE</t>
        </r>
      </text>
    </comment>
    <comment ref="E121" authorId="0" shapeId="0" xr:uid="{00000000-0006-0000-0900-00001E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REP.MAT.P/EQUIPOS DE TRANSP.
Arrendamiento de Vehiculos</t>
        </r>
      </text>
    </comment>
    <comment ref="E122" authorId="0" shapeId="0" xr:uid="{00000000-0006-0000-0900-00001F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PARA EL PERSONAL
Transporte Local del Personal</t>
        </r>
      </text>
    </comment>
    <comment ref="E129" authorId="0" shapeId="0" xr:uid="{00000000-0006-0000-0900-000020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TRASLADOS Y COMUNICACIÓN
Impuestos y Seguro de Equipos de Trasnp.</t>
        </r>
      </text>
    </comment>
    <comment ref="E130" authorId="0" shapeId="0" xr:uid="{00000000-0006-0000-0900-00002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INFRAESTRUCTURA
Edificios muebles y equipos de oficina</t>
        </r>
      </text>
    </comment>
    <comment ref="E134" authorId="0" shapeId="0" xr:uid="{00000000-0006-0000-0900-00002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SEGURO PARA EL PERSONAL</t>
        </r>
      </text>
    </comment>
    <comment ref="E142" authorId="0" shapeId="0" xr:uid="{00000000-0006-0000-0900-00002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INFRAESTRUCTURA
De la Institución</t>
        </r>
      </text>
    </comment>
    <comment ref="E146" authorId="0" shapeId="0" xr:uid="{00000000-0006-0000-0900-00002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INFRAESTRUCURA
Mant. Y Rep. De Muebles y Equipos de Oficina</t>
        </r>
      </text>
    </comment>
    <comment ref="E147" authorId="0" shapeId="0" xr:uid="{00000000-0006-0000-0900-00002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INFRAESTRUCTURA
mant. Y Rep. De Otros Equipos</t>
        </r>
      </text>
    </comment>
    <comment ref="E148" authorId="0" shapeId="0" xr:uid="{00000000-0006-0000-0900-00002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REP-MAT.P/EQUIPOS DE TRANSPORTE
Repuestos y Materiales de Vehiculos</t>
        </r>
      </text>
    </comment>
    <comment ref="E149" authorId="0" shapeId="0" xr:uid="{00000000-0006-0000-0900-00002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REP-MAT.P/EQUIPOS DE TRANSPORTE
Mano de obra de Vehiculos</t>
        </r>
      </text>
    </comment>
    <comment ref="E150" authorId="0" shapeId="0" xr:uid="{00000000-0006-0000-0900-000028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REP-MAT.P/EQUIPOS DE TRANSPORTE
Otros gastos de Vehiculos</t>
        </r>
      </text>
    </comment>
    <comment ref="E155" authorId="0" shapeId="0" xr:uid="{00000000-0006-0000-0900-00002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DE INFRAESTRUCTURA
Arrendados</t>
        </r>
      </text>
    </comment>
    <comment ref="E158" authorId="0" shapeId="0" xr:uid="{00000000-0006-0000-0900-00002A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DIVERSOS
Gastos Legales</t>
        </r>
      </text>
    </comment>
    <comment ref="E160" authorId="0" shapeId="0" xr:uid="{00000000-0006-0000-0900-00002B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OPERACIONES
COMISIONES POR SERVICIOS</t>
        </r>
      </text>
    </comment>
    <comment ref="E161" authorId="0" shapeId="0" xr:uid="{00000000-0006-0000-0900-00002C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PARA EL PERSONAL
Servicios Funerarios</t>
        </r>
      </text>
    </comment>
    <comment ref="E167" authorId="0" shapeId="0" xr:uid="{00000000-0006-0000-0900-00002D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SERVICIOS EXTERNOS
Servicios de Información</t>
        </r>
      </text>
    </comment>
    <comment ref="E168" authorId="0" shapeId="0" xr:uid="{00000000-0006-0000-0900-00002E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CAPACITACION</t>
        </r>
      </text>
    </comment>
    <comment ref="E169" authorId="0" shapeId="0" xr:uid="{00000000-0006-0000-0900-00002F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SERVICIOS EXTERNOS
Otros Servicios Contratados</t>
        </r>
      </text>
    </comment>
    <comment ref="E173" authorId="0" shapeId="0" xr:uid="{00000000-0006-0000-0900-000030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DIVERSOS
Otros Impuestos y Tasas</t>
        </r>
      </text>
    </comment>
    <comment ref="I176" authorId="0" shapeId="0" xr:uid="{00000000-0006-0000-0900-00003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De donde sale el 305?</t>
        </r>
      </text>
    </comment>
    <comment ref="E177" authorId="0" shapeId="0" xr:uid="{00000000-0006-0000-0900-00003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DIVERSOS
Amortizacion de Otros Cargos Diferidos</t>
        </r>
      </text>
    </comment>
    <comment ref="E178" authorId="0" shapeId="0" xr:uid="{00000000-0006-0000-0900-00003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OPERACIONALES DIVERSOS
Otros gastos Operaciones Diversos</t>
        </r>
      </text>
    </comment>
    <comment ref="E180" authorId="0" shapeId="0" xr:uid="{00000000-0006-0000-0900-00003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NO OPERACIONALES
Gastos no Operacionales  Varios</t>
        </r>
      </text>
    </comment>
    <comment ref="E181" authorId="0" shapeId="0" xr:uid="{00000000-0006-0000-0900-00003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POR BIENES RECIBIDOS EN REC DE
Gastos Mant. Y Custodia de Bienes Adjudicados</t>
        </r>
      </text>
    </comment>
    <comment ref="E184" authorId="0" shapeId="0" xr:uid="{00000000-0006-0000-0900-00003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SERVICIOS EXTERNOS
Servicios de Seguridad</t>
        </r>
      </text>
    </comment>
    <comment ref="E185" authorId="0" shapeId="0" xr:uid="{00000000-0006-0000-0900-00003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PROPAGANDO Y PUBLICIDAD
Aportes a Otras Instituciones</t>
        </r>
      </text>
    </comment>
    <comment ref="E188" authorId="0" shapeId="0" xr:uid="{00000000-0006-0000-0900-000038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Uniformes</t>
        </r>
      </text>
    </comment>
    <comment ref="E193" authorId="0" shapeId="0" xr:uid="{00000000-0006-0000-0900-00003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PAPELERIA UTILES Y OTROS MATERIALES
Papelería y Útiles de Oficina</t>
        </r>
      </text>
    </comment>
    <comment ref="E194" authorId="0" shapeId="0" xr:uid="{00000000-0006-0000-0900-00003A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Papeleria cuenta de orden de pago</t>
        </r>
      </text>
    </comment>
    <comment ref="E197" authorId="0" shapeId="0" xr:uid="{00000000-0006-0000-0900-00003B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REP-MAT.P/EQUIPOS DE TRANSPORTE
Gomas y tubos para Vehiculos</t>
        </r>
      </text>
    </comment>
    <comment ref="E203" authorId="0" shapeId="0" xr:uid="{00000000-0006-0000-0900-00003C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DE TRASLADO Y COMUNICACIÓN
Combustibles y lubricantes</t>
        </r>
      </text>
    </comment>
    <comment ref="E209" authorId="0" shapeId="0" xr:uid="{00000000-0006-0000-0900-00003D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SERVICIOS EXTERNOS
Servicios de Limpieza</t>
        </r>
      </text>
    </comment>
    <comment ref="E210" authorId="0" shapeId="0" xr:uid="{00000000-0006-0000-0900-00003E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PAPELERIA UTILES Y OTROS MATERIALES
Materiales y Utiles de Aseo</t>
        </r>
      </text>
    </comment>
    <comment ref="E214" authorId="0" shapeId="0" xr:uid="{00000000-0006-0000-0900-00003F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PROPAGANDA Y PUBLICIDAD
Gastos generales Diversos</t>
        </r>
      </text>
    </comment>
    <comment ref="E215" authorId="0" shapeId="0" xr:uid="{00000000-0006-0000-0900-000040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3" authorId="0" shapeId="0" xr:uid="{00000000-0006-0000-0900-00004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GENERALES
Pensiones del banco</t>
        </r>
      </text>
    </comment>
    <comment ref="E225" authorId="0" shapeId="0" xr:uid="{00000000-0006-0000-0900-00004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EXTRAORDINARIOS
Donaciones Efectuadas por la Institución</t>
        </r>
      </text>
    </comment>
    <comment ref="E246" authorId="0" shapeId="0" xr:uid="{00000000-0006-0000-0900-00004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diferencia en activos entre mes anterior y mes actual (Estado de Situación)</t>
        </r>
      </text>
    </comment>
    <comment ref="E259" authorId="0" shapeId="0" xr:uid="{00000000-0006-0000-0900-00004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DESEMBOLSOS</t>
        </r>
      </text>
    </comment>
    <comment ref="E263" authorId="0" shapeId="0" xr:uid="{00000000-0006-0000-0900-00004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Activos disponibles del mes menos activos disponibles del mes pasado (Estado de situación financiera) (DISPONIBILIDADES)
Si es negativa va arriba 
fila: 44</t>
        </r>
      </text>
    </comment>
    <comment ref="D264" authorId="0" shapeId="0" xr:uid="{00000000-0006-0000-0900-00004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PARA CUADRAD (ARRIBA O ABAJO)</t>
        </r>
      </text>
    </comment>
    <comment ref="E264" authorId="0" shapeId="0" xr:uid="{00000000-0006-0000-0900-00004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fila 45</t>
        </r>
      </text>
    </comment>
    <comment ref="E283" authorId="0" shapeId="0" xr:uid="{00000000-0006-0000-0900-000048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POR FINANCIAMIENTOS POR VALORES EN PODER DE
Cargos por Financ. del B.C.R.D.</t>
        </r>
      </text>
    </comment>
    <comment ref="E284" authorId="0" shapeId="0" xr:uid="{00000000-0006-0000-0900-00004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POR FINANCIAMIENTOS POR VALORES EN PODER DE
Banco de Reservas de la Rep. Dom.</t>
        </r>
      </text>
    </comment>
    <comment ref="E285" authorId="0" shapeId="0" xr:uid="{00000000-0006-0000-0900-00004A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PERDIDA POR AMORTIZACION DE PRIMA DE
Amort. De Prima por Financiamientos Mantenidas hasta su</t>
        </r>
      </text>
    </comment>
    <comment ref="E286" authorId="0" shapeId="0" xr:uid="{00000000-0006-0000-0900-00004B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CARGOS POR DEPOSITOS A PLAZO</t>
        </r>
      </text>
    </comment>
    <comment ref="E287" authorId="0" shapeId="0" xr:uid="{00000000-0006-0000-0900-00004C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GARGOS FINANCIEROS POR VALORES EN PODER DE 
Cargos por Certificados Financieros</t>
        </r>
      </text>
    </comment>
    <comment ref="E288" authorId="0" shapeId="0" xr:uid="{00000000-0006-0000-0900-00004D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FINANCIEROS
Cargos por Depositos de Ahorros</t>
        </r>
      </text>
    </comment>
    <comment ref="E289" authorId="0" shapeId="0" xr:uid="{00000000-0006-0000-0900-00004E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OPERACIONALES
Cargos por Depositos de Alquileres</t>
        </r>
      </text>
    </comment>
    <comment ref="E290" authorId="0" shapeId="0" xr:uid="{00000000-0006-0000-0900-00004F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OTROS GASTOS OPERACIONALES
Cargos por Depositos de garantia Economicas o Judicial</t>
        </r>
      </text>
    </comment>
    <comment ref="D300" authorId="0" shapeId="0" xr:uid="{00000000-0006-0000-0900-000050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TOTAL GASTOS</t>
        </r>
      </text>
    </comment>
    <comment ref="D302" authorId="0" shapeId="0" xr:uid="{00000000-0006-0000-0900-00005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GASTOS NO OPERACIONALES
GASTOS POR PROVIS. POR ACTIVOS RIESGOS</t>
        </r>
      </text>
    </comment>
    <comment ref="D303" authorId="0" shapeId="0" xr:uid="{00000000-0006-0000-0900-00005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DEPRECIACION ACTIVO FIJO EXCEPTO EQ DE</t>
        </r>
      </text>
    </comment>
    <comment ref="D304" authorId="0" shapeId="0" xr:uid="{00000000-0006-0000-0900-00005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MANTENIMIENTO, REP. MAT. P/EQUIPOS DE TRANSP.
Depreciación de Equipos de Transporte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</authors>
  <commentList>
    <comment ref="A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439.03.1.01
CREDITO - DEBITO</t>
        </r>
      </text>
    </comment>
    <comment ref="A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323.02.1.01
SOLO EL CREDITO</t>
        </r>
      </text>
    </comment>
    <comment ref="B16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D16" authorId="0" shapeId="0" xr:uid="{0EF8FB7A-3CCC-45E5-9953-8010ECC17DDB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E16" authorId="0" shapeId="0" xr:uid="{3392B8D4-99E1-4DC6-B9E5-4455CA1DCAD6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F16" authorId="0" shapeId="0" xr:uid="{667AC01E-BA6D-4D47-940C-CF513FB0B9B2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G16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H1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1</t>
        </r>
      </text>
    </comment>
    <comment ref="B18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D18" authorId="0" shapeId="0" xr:uid="{63B20310-6762-421B-8466-9DE9C5A19401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E18" authorId="0" shapeId="0" xr:uid="{A350074F-0D7D-4DAE-8E09-EBFDDF3A15DF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F18" authorId="0" shapeId="0" xr:uid="{37B51D39-6663-45D5-9BB0-EAD3920E86A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G18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H18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HOJA 3 - H</t>
        </r>
      </text>
    </comment>
    <comment ref="A175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Debito - Credito</t>
        </r>
      </text>
    </comment>
  </commentList>
</comments>
</file>

<file path=xl/sharedStrings.xml><?xml version="1.0" encoding="utf-8"?>
<sst xmlns="http://schemas.openxmlformats.org/spreadsheetml/2006/main" count="1485" uniqueCount="739">
  <si>
    <t>INFORME MENSUAL DEL INGRESO</t>
  </si>
  <si>
    <t>NUMERO :</t>
  </si>
  <si>
    <t>HORA :</t>
  </si>
  <si>
    <t>FECHA :</t>
  </si>
  <si>
    <t>CUENTA</t>
  </si>
  <si>
    <t>Denominación de la Cuenta</t>
  </si>
  <si>
    <t>Fondo</t>
  </si>
  <si>
    <t>Ingresos</t>
  </si>
  <si>
    <t>En el mes</t>
  </si>
  <si>
    <t>(2)</t>
  </si>
  <si>
    <t>Clasificación del Ingreso</t>
  </si>
  <si>
    <t>(3)</t>
  </si>
  <si>
    <t>(4)</t>
  </si>
  <si>
    <t>(5)</t>
  </si>
  <si>
    <t xml:space="preserve"> </t>
  </si>
  <si>
    <t>TOTAL</t>
  </si>
  <si>
    <r>
      <t xml:space="preserve">INSTITUCION : </t>
    </r>
    <r>
      <rPr>
        <sz val="12"/>
        <rFont val="Times New Roman"/>
        <family val="1"/>
      </rPr>
      <t>Banco Agrícola de la Rep. Dom</t>
    </r>
    <r>
      <rPr>
        <sz val="10"/>
        <rFont val="Times New Roman"/>
        <family val="1"/>
      </rPr>
      <t>.</t>
    </r>
  </si>
  <si>
    <r>
      <t xml:space="preserve">CODIGO : </t>
    </r>
    <r>
      <rPr>
        <sz val="12"/>
        <rFont val="Times New Roman"/>
        <family val="1"/>
      </rPr>
      <t>5001</t>
    </r>
  </si>
  <si>
    <t>PROG.</t>
  </si>
  <si>
    <t>SUB</t>
  </si>
  <si>
    <t>PROY.</t>
  </si>
  <si>
    <t>ACT./OBRA</t>
  </si>
  <si>
    <t>UB.GEOG.</t>
  </si>
  <si>
    <t>FUNC.</t>
  </si>
  <si>
    <t>FONDO</t>
  </si>
  <si>
    <t>OBJ.</t>
  </si>
  <si>
    <t>SUBCTA</t>
  </si>
  <si>
    <t>CLASIF.OBJ.DEL GASTO</t>
  </si>
  <si>
    <t>IMPUTACION PRESUPUESTARIA</t>
  </si>
  <si>
    <t>COMPROMISO</t>
  </si>
  <si>
    <t>DEVENGADO</t>
  </si>
  <si>
    <t>PAGADO</t>
  </si>
  <si>
    <t>EJECUCION DEL GASTO</t>
  </si>
  <si>
    <t>EJECUCION PRESUPUESTARIA DEL GASTO</t>
  </si>
  <si>
    <t xml:space="preserve"> FORMULARIO No. 1</t>
  </si>
  <si>
    <t>01</t>
  </si>
  <si>
    <t>00</t>
  </si>
  <si>
    <t>02</t>
  </si>
  <si>
    <t>11</t>
  </si>
  <si>
    <t>Intereses</t>
  </si>
  <si>
    <t>TOTAL GENERAL</t>
  </si>
  <si>
    <t xml:space="preserve"> TOTAL</t>
  </si>
  <si>
    <t>De la Administración Central</t>
  </si>
  <si>
    <t>0100</t>
  </si>
  <si>
    <t>FUENTE</t>
  </si>
  <si>
    <t>9998</t>
  </si>
  <si>
    <t xml:space="preserve">FUENTE </t>
  </si>
  <si>
    <t>Materiales y Suministros</t>
  </si>
  <si>
    <t>Producto de Papel, Carton e Impresos</t>
  </si>
  <si>
    <t>Papel de Escritorio</t>
  </si>
  <si>
    <t>Productos de Cuero, Caucho y Plasticos</t>
  </si>
  <si>
    <t>Llantas y Neumaticos</t>
  </si>
  <si>
    <t>Combustibles y Lubricantes</t>
  </si>
  <si>
    <t>Combustibles, Lubricantes, Prod. Quimicos y Conexos</t>
  </si>
  <si>
    <t>Productos y Utiles Varios</t>
  </si>
  <si>
    <t>Materiales de Limpieza</t>
  </si>
  <si>
    <t>Prod. Y Utiles Varios no Identificados Precedentemente</t>
  </si>
  <si>
    <t>REMUNERACIONES Y CONTRIBUCIONES</t>
  </si>
  <si>
    <t xml:space="preserve">Remuneracuines </t>
  </si>
  <si>
    <t>Remuneraciones al Personal Fijo</t>
  </si>
  <si>
    <t>Remuneraciones al Personal con caracter Transitorio</t>
  </si>
  <si>
    <t>Prestaciones Economicas</t>
  </si>
  <si>
    <t>Gratificaciones y Bonificaciones</t>
  </si>
  <si>
    <t>Otras Gratificaciones y Bonificaciones</t>
  </si>
  <si>
    <t>Contribuciones a la Seguridad Social</t>
  </si>
  <si>
    <t>Contribuciones al Seguro de Pensiones</t>
  </si>
  <si>
    <t>CONTRATACIONES DE SERVICIOS</t>
  </si>
  <si>
    <t>Servicios Basicos</t>
  </si>
  <si>
    <t>Telefono Local</t>
  </si>
  <si>
    <t>Electricidad</t>
  </si>
  <si>
    <t>Agua</t>
  </si>
  <si>
    <t>Recoleccion de Servicios Solidos</t>
  </si>
  <si>
    <t>Publicidad, Impresion y Encuadernacion</t>
  </si>
  <si>
    <t>Publicidad y Propaganda</t>
  </si>
  <si>
    <t>Viaticos</t>
  </si>
  <si>
    <t>Viaticos del Pais</t>
  </si>
  <si>
    <t>Transporte y alnmacenaje</t>
  </si>
  <si>
    <t>Pasajes</t>
  </si>
  <si>
    <t>Alquileres y Renta de Edificio y Locales</t>
  </si>
  <si>
    <t>Seguros</t>
  </si>
  <si>
    <t>Servicios Consevacion, Reparaciones menores e instalaciones Temporales</t>
  </si>
  <si>
    <t>Contratacion de Obras Menores</t>
  </si>
  <si>
    <t>Mantenimiento y Reparacion de Maq. Y Equipos</t>
  </si>
  <si>
    <t>Otros Servicios no Incluidos en Conceptos Anteriores</t>
  </si>
  <si>
    <t>Gastos Judiciales</t>
  </si>
  <si>
    <t>Comisiones y Gastos Bancarios</t>
  </si>
  <si>
    <t>Servicios Tecnicos Profesionales</t>
  </si>
  <si>
    <t>MATERIALES Y SUMINISTROS</t>
  </si>
  <si>
    <t>Productos De Papel, Carton e Impresos</t>
  </si>
  <si>
    <t>Papel de escritorio</t>
  </si>
  <si>
    <t>Consecion de Prestamos al Sector Publico</t>
  </si>
  <si>
    <t>ACTIVOS NO FINANCIEROS</t>
  </si>
  <si>
    <t>Maquinarias y Equipos</t>
  </si>
  <si>
    <t>Equipos de Computacion y operaciones Aux.</t>
  </si>
  <si>
    <t>Equipos varios</t>
  </si>
  <si>
    <t>TRANSFERENCIAS CORRIENTES</t>
  </si>
  <si>
    <t>Prestaciones a la Seguridad Social</t>
  </si>
  <si>
    <t>Becas y Viajes de estudio</t>
  </si>
  <si>
    <t>GASTOS FINANCIEROS</t>
  </si>
  <si>
    <t>Intereses de la Deuda publica interna a Corto Plazo</t>
  </si>
  <si>
    <t>Sobresueldos</t>
  </si>
  <si>
    <t>Alquileres de Equipos de Transporte, Traccion y elevacion</t>
  </si>
  <si>
    <t>Servicios Funerarios y gastos conexos</t>
  </si>
  <si>
    <t>Sueldos Fijos</t>
  </si>
  <si>
    <t>Sueldo Anual No. 13</t>
  </si>
  <si>
    <t>Compensación</t>
  </si>
  <si>
    <t>122-02</t>
  </si>
  <si>
    <t>Compensación por horas extraordinarias</t>
  </si>
  <si>
    <t>Bono por desempeño</t>
  </si>
  <si>
    <t>Gratificaciónes y Bonificaciónes</t>
  </si>
  <si>
    <t>Otras Gratificaciónes</t>
  </si>
  <si>
    <t>CONTRATACION DE SERVICIOS</t>
  </si>
  <si>
    <t>Serviciós Basicos</t>
  </si>
  <si>
    <t>Teléfono Local</t>
  </si>
  <si>
    <t>Eléctricidad</t>
  </si>
  <si>
    <t>Publicidad, Impresion y Encuadernación</t>
  </si>
  <si>
    <t>Transporte y almacenaje</t>
  </si>
  <si>
    <t>Alquileres y Rentas</t>
  </si>
  <si>
    <t>Seguro de Persona</t>
  </si>
  <si>
    <t>Servicios Conservacón, Reparacióones Menores e</t>
  </si>
  <si>
    <t>Instalaciones Temporales</t>
  </si>
  <si>
    <t>Contratación de Obras Menores</t>
  </si>
  <si>
    <t>Servicios Especiales de Mant. Y Reparación</t>
  </si>
  <si>
    <t>Mantenimiento y Reparacion muebles Y Equipos</t>
  </si>
  <si>
    <t>Mantenimiento y Reparación de Equipos y Trasnp.</t>
  </si>
  <si>
    <t>Otros Gastos Operativos</t>
  </si>
  <si>
    <t>Otros Gastos Operativos de Inst. Empresariales</t>
  </si>
  <si>
    <t>Ayudas y Donaciones a Persona</t>
  </si>
  <si>
    <t>Transferencias Corrientes al Sector Privado</t>
  </si>
  <si>
    <t>Incremento en Caja y Bancos</t>
  </si>
  <si>
    <t>Intereses de la deuda pública interna</t>
  </si>
  <si>
    <t>Remuneraciónes al Personal Fijo</t>
  </si>
  <si>
    <t>Sueldo anual No. 13</t>
  </si>
  <si>
    <t>Energia Eléctrica</t>
  </si>
  <si>
    <t>Transporte y Alnmacenaje</t>
  </si>
  <si>
    <t>Seguros de Bienes Muebles</t>
  </si>
  <si>
    <t>Servicios Especiales de Matenimiento y Reparación</t>
  </si>
  <si>
    <t>Matenimiento y Reparación de Muebles y Equipos de Ofic.</t>
  </si>
  <si>
    <t>Mantenimiento y Reparación Equipos de Transporte</t>
  </si>
  <si>
    <t>Productos de Cuero, Caucho y Plásticos</t>
  </si>
  <si>
    <t xml:space="preserve">Remuneraciónes </t>
  </si>
  <si>
    <t xml:space="preserve"> Energia Eléctricidad</t>
  </si>
  <si>
    <t>Viaticos del País</t>
  </si>
  <si>
    <t>Seguros de Bines Muebles</t>
  </si>
  <si>
    <t>Seguros de Personas</t>
  </si>
  <si>
    <t>Servicios Especiales de Mantenimiento y Reparación</t>
  </si>
  <si>
    <t xml:space="preserve">Mantenimiento y Rep. Muebles y Equipos de Oficina </t>
  </si>
  <si>
    <t>Mantenimiento y Reparacion Equipos de Transp.</t>
  </si>
  <si>
    <t>Otos Gastos Operativos</t>
  </si>
  <si>
    <t>Sueldos fijos</t>
  </si>
  <si>
    <t>Remuneraciones al Personal con carácter Transitorio</t>
  </si>
  <si>
    <t>Seguro de bienes muebles</t>
  </si>
  <si>
    <t>Servicios Consevacion, Reparaciones menores e Instalaciones Temporales</t>
  </si>
  <si>
    <t>Mantenimiento y Reparacion de Maq. Y Equipos de Ofic.</t>
  </si>
  <si>
    <t>Mantenimiento y Reparacion Equipos de Transporte</t>
  </si>
  <si>
    <t>AUX</t>
  </si>
  <si>
    <t xml:space="preserve">                  FORMULARIO No. 2</t>
  </si>
  <si>
    <t>FORMULARIO No. 2</t>
  </si>
  <si>
    <t xml:space="preserve"> FORMULARIO No. 2</t>
  </si>
  <si>
    <t xml:space="preserve">      FORMULARIO No. 2</t>
  </si>
  <si>
    <t>287-04</t>
  </si>
  <si>
    <t>Servicios de Capacitación</t>
  </si>
  <si>
    <t xml:space="preserve">Seguros </t>
  </si>
  <si>
    <t>Servicios Técnicos Profesionales</t>
  </si>
  <si>
    <t>Bono por Desempeño</t>
  </si>
  <si>
    <t>Transf. Corriente Rec. De los Gob. Centrales Mun</t>
  </si>
  <si>
    <t>Ints. Por Coloción de Inv. Financ.del Merc. Int.</t>
  </si>
  <si>
    <t>Ingresos Diversos</t>
  </si>
  <si>
    <t>Otros Ingresos Diversos</t>
  </si>
  <si>
    <t>Disminución de activos Finan. Corrientes</t>
  </si>
  <si>
    <t>Disminución en Caja y Banco</t>
  </si>
  <si>
    <t>Impuestos, Derechos y Tasas</t>
  </si>
  <si>
    <t>2</t>
  </si>
  <si>
    <t>4</t>
  </si>
  <si>
    <t>6</t>
  </si>
  <si>
    <t>7</t>
  </si>
  <si>
    <t>Servicio de Contabilidad y Auditoría</t>
  </si>
  <si>
    <t xml:space="preserve">Servicio de Informatica y Computacion </t>
  </si>
  <si>
    <t>Otros Servicios Tecnicos Profesionales</t>
  </si>
  <si>
    <t>22-01</t>
  </si>
  <si>
    <t xml:space="preserve">Textiles y Vestuarios </t>
  </si>
  <si>
    <t>Prendas de Vestir</t>
  </si>
  <si>
    <t>Testiles y Vestuarios</t>
  </si>
  <si>
    <t>Textiles y Vestuarios</t>
  </si>
  <si>
    <t>Concesion de Prestamos Interno Otorg. A Corto P.</t>
  </si>
  <si>
    <t>(Ingresos Financieros)</t>
  </si>
  <si>
    <t>Concesion de Préstamos Internos Otorg. A Corto p.</t>
  </si>
  <si>
    <t>Concesion de Préstamos</t>
  </si>
  <si>
    <t>Del Gobierno Central</t>
  </si>
  <si>
    <t>Otros Impuestos y Tasas</t>
  </si>
  <si>
    <t>5</t>
  </si>
  <si>
    <t>8</t>
  </si>
  <si>
    <t>Tipo</t>
  </si>
  <si>
    <t>Concepto</t>
  </si>
  <si>
    <t>Cuenta</t>
  </si>
  <si>
    <t>Sub-Cta.</t>
  </si>
  <si>
    <t>Auxiliar</t>
  </si>
  <si>
    <t>03</t>
  </si>
  <si>
    <t>04</t>
  </si>
  <si>
    <t>05</t>
  </si>
  <si>
    <t>Recuperación de Préstamos Otorgados Corto Plazo</t>
  </si>
  <si>
    <t>Recuperación de Préstamos Internos O. Corto Plazo</t>
  </si>
  <si>
    <t>Incremento de Cuentas por Pagar  de Corto Plazo</t>
  </si>
  <si>
    <t>Incremento en Cuentas por Pagar Internas de C.P.</t>
  </si>
  <si>
    <t>TIPO</t>
  </si>
  <si>
    <t>Disminución de Pasivos Corrientes</t>
  </si>
  <si>
    <t xml:space="preserve">Dism. en Ctas. por Pagar Internas de Corto P. </t>
  </si>
  <si>
    <t>Incremento de Disponibilidades</t>
  </si>
  <si>
    <t>09</t>
  </si>
  <si>
    <t>06</t>
  </si>
  <si>
    <t>Responsable del Registro</t>
  </si>
  <si>
    <t>Firma Responsable y Sello de la Inatitución</t>
  </si>
  <si>
    <t xml:space="preserve">          Firma Responsable y Sello de la Institción</t>
  </si>
  <si>
    <t>Firma Responsable y Sello de la Institución</t>
  </si>
  <si>
    <t>Seguro de Personal</t>
  </si>
  <si>
    <t>Servicios Conservacion, Reparaciones menores e instalaciones Temporales</t>
  </si>
  <si>
    <t>Recolección de Residuos Solidos</t>
  </si>
  <si>
    <t>Gasolina</t>
  </si>
  <si>
    <t>Recoleccion de Residuos Solidos</t>
  </si>
  <si>
    <t>Viáticos dentro del País</t>
  </si>
  <si>
    <t>Equipos de Transporte, traccion y elevación</t>
  </si>
  <si>
    <t>Pensiones</t>
  </si>
  <si>
    <t xml:space="preserve">Ayudadas y Donaciones prog. A hogares y Personas      </t>
  </si>
  <si>
    <t>Seguro de Bienes Muebles</t>
  </si>
  <si>
    <t xml:space="preserve">Otros Gastos Operativos </t>
  </si>
  <si>
    <t xml:space="preserve">Sueldos Personal Por servicios especiales </t>
  </si>
  <si>
    <t>REGISTRO INTERNO DIGEPRES</t>
  </si>
  <si>
    <t xml:space="preserve"> REGISTRO INTERNO DIGEPRES</t>
  </si>
  <si>
    <t>Pago por horas extraordinaría</t>
  </si>
  <si>
    <t>LIC.  MARICELA CHECO</t>
  </si>
  <si>
    <t xml:space="preserve">Contralor </t>
  </si>
  <si>
    <t>ADMINSTRADOR GENERAL</t>
  </si>
  <si>
    <t xml:space="preserve">FERNANDO DURÁN </t>
  </si>
  <si>
    <t>pag 3</t>
  </si>
  <si>
    <t>INGRESOS FINANCIEROS</t>
  </si>
  <si>
    <t>COMISIONES POR SERVICIOS</t>
  </si>
  <si>
    <t>TOTAL INGRESOS</t>
  </si>
  <si>
    <t>Cargos por Depositos de Ahorros</t>
  </si>
  <si>
    <t>CARGOS POR DEPOSITOS A PLAZO</t>
  </si>
  <si>
    <t>Cargos por Financ. Del B.C.R.D</t>
  </si>
  <si>
    <t xml:space="preserve">Banco de Reservas de la Rep. Dom. </t>
  </si>
  <si>
    <t>Amort. De Prima por Financiamientos Mantenidas hasta su</t>
  </si>
  <si>
    <t>OTROS GASTOS OPERACIONALES</t>
  </si>
  <si>
    <t>Cargos por Depositos de Alquileres</t>
  </si>
  <si>
    <t>Cargos por Depositos de garantia Economica o Judicial</t>
  </si>
  <si>
    <t>GASTOS OPERACIONEALES DIVERSOS</t>
  </si>
  <si>
    <t>Otros Gastos Operacionales Diversos</t>
  </si>
  <si>
    <t>GASTOS GENERALES Y ADMINISTRATIVOS</t>
  </si>
  <si>
    <t>Personal Permanente</t>
  </si>
  <si>
    <t>Pensiones del Banco</t>
  </si>
  <si>
    <t>Temporero</t>
  </si>
  <si>
    <t>Viaticos Directorio Ejecutivo</t>
  </si>
  <si>
    <t>Regalias Pascual</t>
  </si>
  <si>
    <t>Vacaciones</t>
  </si>
  <si>
    <t>Prestaciones Laborables</t>
  </si>
  <si>
    <t>Refrigerios</t>
  </si>
  <si>
    <t>SEGURO PARA EL PERSONAL</t>
  </si>
  <si>
    <t>Compensaciones por Uso de Vehiculos</t>
  </si>
  <si>
    <t>Renta de Casas</t>
  </si>
  <si>
    <t>OTROS GASTOS PARA EL PERSONAL</t>
  </si>
  <si>
    <t>Actividades Sociales</t>
  </si>
  <si>
    <t>Transporte Local del Personal</t>
  </si>
  <si>
    <t>Aportes Pensiones del Personal</t>
  </si>
  <si>
    <t>Gastos Diversos del Personal</t>
  </si>
  <si>
    <t>Servicios Funerarios</t>
  </si>
  <si>
    <t>GASTOS POR SERVICIOS EXTERNOS</t>
  </si>
  <si>
    <t>Servicios de Seguridad</t>
  </si>
  <si>
    <t>Servicios de Información</t>
  </si>
  <si>
    <t>Servicios de Limpieza</t>
  </si>
  <si>
    <t>Otros Servicios Contratados</t>
  </si>
  <si>
    <t>GASTOS DE TRASLADOS Y COMUNICACIÓN</t>
  </si>
  <si>
    <t>PASAJES Y FLETES</t>
  </si>
  <si>
    <t>MANTENIMIENTO, REP.MAT.P/EQUIPOS DE TRANSP.</t>
  </si>
  <si>
    <t>Repuestos y Materiales de Vehiculos</t>
  </si>
  <si>
    <t>Mano de Obra de Vehiculos</t>
  </si>
  <si>
    <t>Gomas y tubos para Vehiculos</t>
  </si>
  <si>
    <t>Otros Gastos de Vehiculos</t>
  </si>
  <si>
    <t>Depreciación de Equipos de Transporte</t>
  </si>
  <si>
    <t>Telefono, Tele y Fax</t>
  </si>
  <si>
    <t>OTROS GASTOS DE TRASLADOS Y COMUNICACIÓN</t>
  </si>
  <si>
    <t>Combustibles y lubricantes</t>
  </si>
  <si>
    <t>GASTOS DE INFRAESTRUCTURA</t>
  </si>
  <si>
    <t>Edificios Muebles y Equipos de Oficina</t>
  </si>
  <si>
    <t>Mant. Y Rep. De Otros Equipos</t>
  </si>
  <si>
    <t>De la Institución</t>
  </si>
  <si>
    <t>Arrendados</t>
  </si>
  <si>
    <t>Agua, Basuca y Energia Electrica</t>
  </si>
  <si>
    <t>ARRENDAMIENTO DE INMUEBLE</t>
  </si>
  <si>
    <t>DEPRECIACION ACTIVO FIJO EXCEPTO EQ. DE</t>
  </si>
  <si>
    <t>GASTOS DIVERSOS</t>
  </si>
  <si>
    <t>Amortización de Otros Cargos Diferidos</t>
  </si>
  <si>
    <t>PAPELERIA UTILES Y OTROS MATERIALES</t>
  </si>
  <si>
    <t>Papeleria y Utiles de Oficina</t>
  </si>
  <si>
    <t>Materiales y Utiles de aseo</t>
  </si>
  <si>
    <t>Papeleria Cuenta de Orden de Pago</t>
  </si>
  <si>
    <t>Gastos Legales</t>
  </si>
  <si>
    <t>Suscripciones y Afiliaciones</t>
  </si>
  <si>
    <t>PROPAGANDA Y PUBLICIDAD</t>
  </si>
  <si>
    <t>Aportes a Otras Instituciones</t>
  </si>
  <si>
    <t>Gastos Generales Diversos</t>
  </si>
  <si>
    <t>GASTOS NO OPERACIONALES</t>
  </si>
  <si>
    <t>Constitución de Prov. p/rendimientos por cobrar</t>
  </si>
  <si>
    <t>Gastos Mant. Y Custodia Bienes Adjudicados</t>
  </si>
  <si>
    <t>OTROS GASTOS NO OPERACIONALES</t>
  </si>
  <si>
    <t>Gastos no Operacionales Varios</t>
  </si>
  <si>
    <t>Donaciones Efectuadas por la Institución</t>
  </si>
  <si>
    <t>TOTAL DE GASTOS</t>
  </si>
  <si>
    <t>BANCO AGRICOLA DE LA REPUBLICA DOMINICANA</t>
  </si>
  <si>
    <t xml:space="preserve">DIRECCION DE CONTRALORIA </t>
  </si>
  <si>
    <t>VARIACION ESTADO DE SITUACION</t>
  </si>
  <si>
    <t>VALORES EN RD$</t>
  </si>
  <si>
    <t>ACTIVOS</t>
  </si>
  <si>
    <t>VARIACION</t>
  </si>
  <si>
    <t>DISPONIBILIDADES</t>
  </si>
  <si>
    <t>INVERSIONES</t>
  </si>
  <si>
    <t>CARTERA DE CREDITOS</t>
  </si>
  <si>
    <t>CUENTAS A RECIBIR</t>
  </si>
  <si>
    <t>ACTIVOS FIJOS</t>
  </si>
  <si>
    <t>OTROS ACTIVOS</t>
  </si>
  <si>
    <t>PASIVOS</t>
  </si>
  <si>
    <t>DEPOSITOS EN PODER DEL PUBLICO</t>
  </si>
  <si>
    <t>VALORES EN PODER DEL PUBLICO</t>
  </si>
  <si>
    <t>FINANCIAMIENTO OBTENIDOS</t>
  </si>
  <si>
    <t>OBLIGACIONES FINANCIERAS</t>
  </si>
  <si>
    <t>ACREEDORES DIVERSOS</t>
  </si>
  <si>
    <t>OTROS PASIVOS</t>
  </si>
  <si>
    <t>FONDOS EN ADMINISTRACION</t>
  </si>
  <si>
    <t>TOTAL PASIVOS</t>
  </si>
  <si>
    <t>CAPITAL</t>
  </si>
  <si>
    <t>RESULTADOS</t>
  </si>
  <si>
    <t>TOTAL PASIVOS Y CAPITAL</t>
  </si>
  <si>
    <t>OBJETO</t>
  </si>
  <si>
    <t>SUBCUENTA</t>
  </si>
  <si>
    <t>Actividad Central</t>
  </si>
  <si>
    <t>Servicios Financieros</t>
  </si>
  <si>
    <t>Verificación cuadre:</t>
  </si>
  <si>
    <t>Dirección Superior</t>
  </si>
  <si>
    <t>Gestión Administrativa</t>
  </si>
  <si>
    <t>Servicios de Créditos</t>
  </si>
  <si>
    <t>Captación de Ahorros y Valores</t>
  </si>
  <si>
    <t>Ingresos Corrientes</t>
  </si>
  <si>
    <t>Ingresos Capital</t>
  </si>
  <si>
    <t>Total Entradas</t>
  </si>
  <si>
    <t>Gastos Corrientes</t>
  </si>
  <si>
    <t>Gastos de Capital</t>
  </si>
  <si>
    <t>Total Salidas</t>
  </si>
  <si>
    <t>Diferencia</t>
  </si>
  <si>
    <t>Donaciones</t>
  </si>
  <si>
    <t>Donaciones de Capital</t>
  </si>
  <si>
    <t>De Gobiernos extranjeros (PADER)</t>
  </si>
  <si>
    <t>Transferencias:</t>
  </si>
  <si>
    <t>Transferencias Corrientes:</t>
  </si>
  <si>
    <t>439.03.1.01(bacs)</t>
  </si>
  <si>
    <t>De la administración General</t>
  </si>
  <si>
    <t>539.12.1</t>
  </si>
  <si>
    <t>Transferencias de Capital:</t>
  </si>
  <si>
    <t>323.02.1.01</t>
  </si>
  <si>
    <t>De la Administración General</t>
  </si>
  <si>
    <t>Rentas de Propiedad:</t>
  </si>
  <si>
    <t>Incluye:</t>
  </si>
  <si>
    <t>Ingresos Financieros</t>
  </si>
  <si>
    <t>Grupo de cuentas 422 "Ingresos por Cuentas a Recibir"</t>
  </si>
  <si>
    <t>Grupo de cuentas 423 "Comsiones por servicios"</t>
  </si>
  <si>
    <t xml:space="preserve">Alquileres: </t>
  </si>
  <si>
    <t>Alquileres muebles e inmuebles de la institución</t>
  </si>
  <si>
    <t>Ingresos Diversos:</t>
  </si>
  <si>
    <t>Otros Ingresos</t>
  </si>
  <si>
    <t>Activos financieros:</t>
  </si>
  <si>
    <t>3115-01</t>
  </si>
  <si>
    <t>Recuperación de préstamos</t>
  </si>
  <si>
    <t>Incremento de Otros Activos Financieros:</t>
  </si>
  <si>
    <t>3111-01</t>
  </si>
  <si>
    <t>Disminución en Caja y Bancos</t>
  </si>
  <si>
    <t>Disminución en Cuentas por Cobrar</t>
  </si>
  <si>
    <t>3211-01</t>
  </si>
  <si>
    <t>Incremento en Cuentas por Pagar</t>
  </si>
  <si>
    <t>REMUNERACIONES Y CONSTRIBUCIONES</t>
  </si>
  <si>
    <t xml:space="preserve">Remuneraciones </t>
  </si>
  <si>
    <t>111-01</t>
  </si>
  <si>
    <t>sueldos fijos o personal permanente</t>
  </si>
  <si>
    <t>Remuneraciones al personal con carácter transitorio</t>
  </si>
  <si>
    <t>112-01</t>
  </si>
  <si>
    <t>Sueldos personal contractado e igualado, temporero</t>
  </si>
  <si>
    <t>112-04</t>
  </si>
  <si>
    <t xml:space="preserve">Sueldo al personal por servicios especiales(cubrir pago jornale FEDA) </t>
  </si>
  <si>
    <t>(CUENTA POR COBRAR FEDA 147.99.1.01.17)</t>
  </si>
  <si>
    <t>Sueldo Anual No. 13 (Regalia pascual)</t>
  </si>
  <si>
    <t>115-01</t>
  </si>
  <si>
    <t>Prestaciones Economicas (Prestaciones Laborales) *</t>
  </si>
  <si>
    <t>Compensacion por horas extraordinarias (Refrigerio)</t>
  </si>
  <si>
    <t>122-09</t>
  </si>
  <si>
    <t>Bono por Desempeño (Vacaciónes)- gastos de repr. Fijo</t>
  </si>
  <si>
    <t>Otras Gratificaciónes y Bonificaciónes</t>
  </si>
  <si>
    <t>142-04</t>
  </si>
  <si>
    <t xml:space="preserve">Otras Gratificaciónes </t>
  </si>
  <si>
    <t>Compensación de Sueldos</t>
  </si>
  <si>
    <t>Compensación de Vehiculos *</t>
  </si>
  <si>
    <t>Gastos de Representación Fijos</t>
  </si>
  <si>
    <t>Incentivos(premio al personal)</t>
  </si>
  <si>
    <t>Gastos Diversos de Personal</t>
  </si>
  <si>
    <t>Contribuciónes al Seguro de Pensiones (Aporte Pensiones del personal)</t>
  </si>
  <si>
    <t>Servicios telefonico de larga distancia</t>
  </si>
  <si>
    <t>Telefono Local, Tele y Fax</t>
  </si>
  <si>
    <t>216-01</t>
  </si>
  <si>
    <t>Recolección de Reciduos Solidos (Servicio de Basura)</t>
  </si>
  <si>
    <t>Publicidad, Impresión y Encuadernación</t>
  </si>
  <si>
    <t>Propaganda y Publicidad (Medio Electricos Radios y TV)</t>
  </si>
  <si>
    <t>Viaticos dentro del país(viaticos)</t>
  </si>
  <si>
    <t xml:space="preserve">Viaticos a Directores y Comisarios (viaticos directorio ejecutivo) </t>
  </si>
  <si>
    <t>Transporte y Almacenaje</t>
  </si>
  <si>
    <t>Pasajes y fletes</t>
  </si>
  <si>
    <t>Alquileres y Rentas de Edificios y Locales</t>
  </si>
  <si>
    <t>Renta de Casa</t>
  </si>
  <si>
    <t>Destinado a Oficina</t>
  </si>
  <si>
    <t>Otros Inmuebles</t>
  </si>
  <si>
    <t>Alquileres de EquiposTransporte, Tracción y Elevación</t>
  </si>
  <si>
    <t>Arrendamiento de Vehiculos</t>
  </si>
  <si>
    <t>Seguro de bienes inmuebles</t>
  </si>
  <si>
    <t>Impuesto y Seguro S/equipos de transporte</t>
  </si>
  <si>
    <t>Edificios, muebles y equipos de Oficinas</t>
  </si>
  <si>
    <t>Seguro de personas</t>
  </si>
  <si>
    <t>Seguro para el Personal</t>
  </si>
  <si>
    <t>Otros Seguros</t>
  </si>
  <si>
    <t xml:space="preserve">Servicios Conservación, Reparaciones menores e </t>
  </si>
  <si>
    <t>Instalaciónes Temporales</t>
  </si>
  <si>
    <t xml:space="preserve">Incluye: </t>
  </si>
  <si>
    <t>271-02</t>
  </si>
  <si>
    <t>Servicio Mantenimiento y Reparacion de Inmuebles(De la Institución)</t>
  </si>
  <si>
    <t>(Inmuebles)</t>
  </si>
  <si>
    <t>Mantenimiento y Reparación de Maq. Y Equipos</t>
  </si>
  <si>
    <t>272-01</t>
  </si>
  <si>
    <t>Mant. Y Reparación Muebles y E. Oficinas</t>
  </si>
  <si>
    <t>Mant. Y Reparación de Otros Equipos</t>
  </si>
  <si>
    <t>272-06</t>
  </si>
  <si>
    <t>Mano de Obra de vehículo</t>
  </si>
  <si>
    <t xml:space="preserve">EMPEZAR A EJECUTAR LA CUENTA </t>
  </si>
  <si>
    <t>"ARRENDADOS", LA CUAL ESTA DEBAJO MANTENIMIENTO Y REP. DE INMUEBLES</t>
  </si>
  <si>
    <t xml:space="preserve">Otros Servicios No Incluidos en Conceptos Anteriores </t>
  </si>
  <si>
    <t>Gastos Judiciales (Gastos Legales)</t>
  </si>
  <si>
    <t>Comisiones y Gastos Bancarios(Comision por Servicios)</t>
  </si>
  <si>
    <t>Servicios Funerarios y Gastos Conexos</t>
  </si>
  <si>
    <t>Servcios Técnicos Profesionales</t>
  </si>
  <si>
    <t>287-02</t>
  </si>
  <si>
    <t xml:space="preserve">Servicios Juridicos </t>
  </si>
  <si>
    <t>287-03</t>
  </si>
  <si>
    <t>Servicios de Contabilidad y Auditoría (Auditoria externa)</t>
  </si>
  <si>
    <t>287-05</t>
  </si>
  <si>
    <t>Servicios de Informatica y Computacion (Información)</t>
  </si>
  <si>
    <t>Servicios de Capacitación (Curso)</t>
  </si>
  <si>
    <t>287-06</t>
  </si>
  <si>
    <t>Otros Servicios técnicos profesionales (Contratados)</t>
  </si>
  <si>
    <t>Impuestos, Derechos. Y Tasas</t>
  </si>
  <si>
    <t>288-01</t>
  </si>
  <si>
    <t>289-05</t>
  </si>
  <si>
    <t>Amortización de Otros Cargos Diferdios</t>
  </si>
  <si>
    <t>Amortización a mejoras tomadas en arrendamiento</t>
  </si>
  <si>
    <t>Gastos no Operacionales varios</t>
  </si>
  <si>
    <t>Gastos Mantemiento y Custodia bienes adjudicados</t>
  </si>
  <si>
    <t>Gastos Mantemiento y Custodia bienes Rec. Dac.Pago</t>
  </si>
  <si>
    <t>Perdida en Venta de Activos Fijos</t>
  </si>
  <si>
    <t>Cuota policia especial de Banco (Servicio de Seguridad)</t>
  </si>
  <si>
    <t>Aporte a Otras Instituciones</t>
  </si>
  <si>
    <t>Materiales y Suministro</t>
  </si>
  <si>
    <t>Prendas de vestir (Uniforme)</t>
  </si>
  <si>
    <t xml:space="preserve">Calzados </t>
  </si>
  <si>
    <t>Producots de Papel, Cartón e Impresos</t>
  </si>
  <si>
    <t>Papel de Escritorio y cuenta orden de pago (papeleria y utiles de oficina)</t>
  </si>
  <si>
    <t>Papeleria Cuenta Orden de Pago</t>
  </si>
  <si>
    <t>Productos de Cuero, Cauchoy Plásticos</t>
  </si>
  <si>
    <t>Llantas y Neumaticos(Gomas y tubos para vehiculos).</t>
  </si>
  <si>
    <t xml:space="preserve">Combustibles, Lubricantes, Prod. Quimicos y Conexos </t>
  </si>
  <si>
    <t>Gasoil, Gasolina, Lubricantes y otros (combustibles y lubricantes).</t>
  </si>
  <si>
    <t>Gastos Diversos de Traslados y Comunicaciones</t>
  </si>
  <si>
    <t>Material de Limpieza</t>
  </si>
  <si>
    <t>Servicios de limpieza</t>
  </si>
  <si>
    <t>Materiales y útiles de Aseo</t>
  </si>
  <si>
    <t>Prod. Y Utiles varios no Identificados Precedentemente</t>
  </si>
  <si>
    <t>Otros gastos por bienes diversos</t>
  </si>
  <si>
    <t>Pérdida en venta bienes adjudicados</t>
  </si>
  <si>
    <t>Perdida en Venta de Bines Rec. En Dacion en Pago</t>
  </si>
  <si>
    <t>Pérdida por robos, asaltos y fraudes</t>
  </si>
  <si>
    <t>Transferencias Corrientes</t>
  </si>
  <si>
    <t>Transferencia Corriente al Sector Privado</t>
  </si>
  <si>
    <t>Prestaciónes a la Seguridad Social</t>
  </si>
  <si>
    <t>411-01</t>
  </si>
  <si>
    <t>Prestaciónes (Pensiones del Banco)</t>
  </si>
  <si>
    <t>Ayudas y Donaciones a personas</t>
  </si>
  <si>
    <t xml:space="preserve">Otros gastos extraordinarios </t>
  </si>
  <si>
    <t>Becas y viajes de estudios</t>
  </si>
  <si>
    <t>Gastos de Capital:</t>
  </si>
  <si>
    <t>Activos no Financieros</t>
  </si>
  <si>
    <t>Equipos de transporte, tracción y elevación (29%)</t>
  </si>
  <si>
    <t>Equipos de computación y operaciones auxiliares (28%)</t>
  </si>
  <si>
    <t>Equipos varios (43%)</t>
  </si>
  <si>
    <t>Variación grupo activos fijos mas gasto de depreciación.</t>
  </si>
  <si>
    <t>Depresiación de Equipos de Transporte</t>
  </si>
  <si>
    <t>Inmuebles</t>
  </si>
  <si>
    <t>Terrenos</t>
  </si>
  <si>
    <t>Edificios</t>
  </si>
  <si>
    <t>Construcciones y Mejoras</t>
  </si>
  <si>
    <t>Edificaciones</t>
  </si>
  <si>
    <t>Adquisición de Activos Financieros con fines de Poliica</t>
  </si>
  <si>
    <t xml:space="preserve">Concesión de préstamos </t>
  </si>
  <si>
    <t>4115-01</t>
  </si>
  <si>
    <t>Concesión de préstamos al Sector Publico</t>
  </si>
  <si>
    <t>Incremento de Otros Activos Financieros</t>
  </si>
  <si>
    <t>4111-01</t>
  </si>
  <si>
    <t>4211-01</t>
  </si>
  <si>
    <t>Disminucion en Cuentas por Pagar</t>
  </si>
  <si>
    <t>Pasivos Financieros</t>
  </si>
  <si>
    <t>Amortizacion de préstamos Internos</t>
  </si>
  <si>
    <t>Amort. De préstamos de largo plazo del sector público</t>
  </si>
  <si>
    <t>Banco Central</t>
  </si>
  <si>
    <t>Banco de Reservas</t>
  </si>
  <si>
    <t>Disminución de pasivos con proveedores</t>
  </si>
  <si>
    <t>Pago a Proveedores</t>
  </si>
  <si>
    <t>Disminución Cuentas por Pagar Internas de corto plazo</t>
  </si>
  <si>
    <t>Gastos Financieros:</t>
  </si>
  <si>
    <t>Intereses de la deuda publica interna a corto plazo</t>
  </si>
  <si>
    <t>Banco Reservas</t>
  </si>
  <si>
    <t>Amort. De Prima por Inversiones en Valores</t>
  </si>
  <si>
    <t>Depositos a plazo Indefinido</t>
  </si>
  <si>
    <t>Depositos de Certificados Financieros</t>
  </si>
  <si>
    <t>Cuentas de Ahorros (Depositos de ahorro)</t>
  </si>
  <si>
    <t>Deposito de Alquileres</t>
  </si>
  <si>
    <t>Otras Obligaciones( garantia economica o judicial).</t>
  </si>
  <si>
    <t xml:space="preserve">Nota: </t>
  </si>
  <si>
    <t>1) Los ingresos corrientes deben cuadrar con el total de ingresos.</t>
  </si>
  <si>
    <t>2) Para cuadrar los gastos, se toma el total de gastos, menos: gastos por provis. Por activos riesgos, depreciacion de activos fijos, depreciasion de equipos de transporte.</t>
  </si>
  <si>
    <t>Ejemplo:</t>
  </si>
  <si>
    <t>Total Gatos</t>
  </si>
  <si>
    <t>menos:</t>
  </si>
  <si>
    <t>Gastos por prov. Por activos riesgos</t>
  </si>
  <si>
    <t>Depreciacion activo fijo excepto eq.</t>
  </si>
  <si>
    <t>Depreciacion de equipos de Transporte</t>
  </si>
  <si>
    <t xml:space="preserve">PAGO FEDA </t>
  </si>
  <si>
    <t>3) cuando exista diferencia, se debera buscar la misma cuandrando los grupo</t>
  </si>
  <si>
    <t>1,2,3 y 6, ademas verificar los valores de prestamos, recuperaciones, activos fijos y el aumento o disminicion del efectivo.</t>
  </si>
  <si>
    <t>Servicios Conservacón, Reparacióones Menores e Instalaciones Temporales</t>
  </si>
  <si>
    <t>total ingresos</t>
  </si>
  <si>
    <t>CAPACITACION</t>
  </si>
  <si>
    <t>diferencia en activos</t>
  </si>
  <si>
    <t>Gastos de Representacion fijos</t>
  </si>
  <si>
    <t>Gastos diversos de Traslado y comunicacion</t>
  </si>
  <si>
    <t>REVISAR CUENTAS</t>
  </si>
  <si>
    <t>INGRESOS</t>
  </si>
  <si>
    <t>PARA COMPROBAR QUE LE PASO 2 ESTA BIEN:</t>
  </si>
  <si>
    <t>TASA CERO</t>
  </si>
  <si>
    <t xml:space="preserve">DISPOBILIDAD TASA CERO </t>
  </si>
  <si>
    <t>Concesión de préstamos al Sector Publico TASA CERO</t>
  </si>
  <si>
    <t>De la Administración General del mes</t>
  </si>
  <si>
    <t xml:space="preserve">TASA CERO PERIODOS ANTERIORES </t>
  </si>
  <si>
    <t xml:space="preserve">Aportes patrimoniales no Capitalizados </t>
  </si>
  <si>
    <t>Disminucion Saldos Disponibles periodos anteriores</t>
  </si>
  <si>
    <t>Energia Electrica</t>
  </si>
  <si>
    <t>Balance de comprobación consolidad
Debito - credito
cuenta: 534.04.1.03 (energia electrica)</t>
  </si>
  <si>
    <t>534.04.1.01 (agua)</t>
  </si>
  <si>
    <t>534.04.1.02 (Basuara)</t>
  </si>
  <si>
    <t>Uniformes</t>
  </si>
  <si>
    <t>Auditoria Externa</t>
  </si>
  <si>
    <t>Impuesto y Seguro de Equipos de Transp.</t>
  </si>
  <si>
    <t>Cursos</t>
  </si>
  <si>
    <t>DESEMBOLSOS PRESTAMO TASA 0</t>
  </si>
  <si>
    <t>INTERESES PRESTAMO TASA 0</t>
  </si>
  <si>
    <r>
      <t xml:space="preserve">INSTITUCION : </t>
    </r>
    <r>
      <rPr>
        <sz val="10"/>
        <color theme="1"/>
        <rFont val="Times New Roman"/>
        <family val="1"/>
      </rPr>
      <t>Banco Agrícola de la Rep. Dom.</t>
    </r>
  </si>
  <si>
    <r>
      <t xml:space="preserve">CODIGO : </t>
    </r>
    <r>
      <rPr>
        <sz val="10"/>
        <color theme="1"/>
        <rFont val="Times New Roman"/>
        <family val="1"/>
      </rPr>
      <t>5001</t>
    </r>
  </si>
  <si>
    <t>Sueldos personal temporero</t>
  </si>
  <si>
    <t>PASOS PARA EJECUCION</t>
  </si>
  <si>
    <t>5. GUARDA EN EXCEL BALANZA DE COMPROBACION</t>
  </si>
  <si>
    <t>7. PEGA VALORES DE LA BALANZA</t>
  </si>
  <si>
    <t>6. PEGA LOS VALORES EN ''RESULTADO''</t>
  </si>
  <si>
    <t>8. PEGA VALORES EN ''SITUACION''</t>
  </si>
  <si>
    <t>2. CONFIRMA EL AÑO HOJA 1</t>
  </si>
  <si>
    <t>1. ACTUALIZA EL MES HOJA 1</t>
  </si>
  <si>
    <r>
      <t xml:space="preserve">INSTITUCION : </t>
    </r>
    <r>
      <rPr>
        <sz val="10"/>
        <rFont val="Times New Roman"/>
        <family val="1"/>
      </rPr>
      <t>Banco Agrícola de la Rep. Dom.</t>
    </r>
  </si>
  <si>
    <r>
      <t xml:space="preserve">CODIGO : </t>
    </r>
    <r>
      <rPr>
        <sz val="10"/>
        <rFont val="Times New Roman"/>
        <family val="1"/>
      </rPr>
      <t>5001</t>
    </r>
  </si>
  <si>
    <t>4. GUARDA EN EXCEL EL ESTADO DE SITUACION (10)</t>
  </si>
  <si>
    <t xml:space="preserve">9. DIGITA COBROS DEL MES </t>
  </si>
  <si>
    <t>10. DIGITA DESEMBOLSOS DEL MES</t>
  </si>
  <si>
    <t>11. DIGITA MONTOS ENVIADOS POR GOBIERNO CENTRAL</t>
  </si>
  <si>
    <t>12. CONFIRMA QUE CUADRO EL GASTO</t>
  </si>
  <si>
    <t>13. CONFIRMA QUE CUADRO EL INGRESO</t>
  </si>
  <si>
    <t>14. CONFIRMA QUE CUADRARON LAS PAGINAS</t>
  </si>
  <si>
    <t>15. OCULTA CASILLAS EN BLANCO</t>
  </si>
  <si>
    <t>16. REVISA CADA HOJA BUSCANDO DECIMALES Y QUITAR</t>
  </si>
  <si>
    <t>17. CONFIRMA HOJA 1 (INGRESOS) CON LA BALANZA</t>
  </si>
  <si>
    <t>ALGUNA OTRA AYUDA QUE VALLA APARTE</t>
  </si>
  <si>
    <t>AUMENTO EN DISPONIBILIDAD</t>
  </si>
  <si>
    <t>DISMINUCION EN DISPONIBILIDAD</t>
  </si>
  <si>
    <t>Diferencia en disponibilidades en situacion financiera si es negativa; si es positiva va abajo (263)</t>
  </si>
  <si>
    <t>10</t>
  </si>
  <si>
    <t>MONTO PARA CUADRAR NEGATIVO</t>
  </si>
  <si>
    <t>MONTO PARA CUADRAR POSITIVO</t>
  </si>
  <si>
    <t>RECIBIDOS DEL GOBIERNO CENTRAL 14 MILLONES+ (439.03.1.01)</t>
  </si>
  <si>
    <t>9</t>
  </si>
  <si>
    <t>Intereses Devengados internos por Inst. Financieras</t>
  </si>
  <si>
    <t>MONTO DE CUADRE SEGÚN HOJA DE CALCULO</t>
  </si>
  <si>
    <t>CUADRE DE GASTOS</t>
  </si>
  <si>
    <t>CUADRE DE INGRESOS</t>
  </si>
  <si>
    <t>3. GUARDA EN EXCEL EL ESTADO DE RESULTADO MENSUAL (11)</t>
  </si>
  <si>
    <t>Mant. Y Rep. De Muebles y Equipos de Oficina</t>
  </si>
  <si>
    <t>GASTOS POR BIENES RECIBIDO EN REC. DE</t>
  </si>
  <si>
    <t>ARRENDAMIENTOS DE MOBILIARIOS Y EQUIPOS</t>
  </si>
  <si>
    <t>GASTOS POR PROVIS. POR ACTIVOS RIESGOS</t>
  </si>
  <si>
    <t>PERDIDAS POR VENTAS BIENES RECIB. REC. CRED</t>
  </si>
  <si>
    <t>GASTOS POR VENTAS DE BIENES</t>
  </si>
  <si>
    <t>Perdida en Ventas Bienes Adjudicados</t>
  </si>
  <si>
    <t>Perdida en Ventas Bienes Recibido Dacion en P.</t>
  </si>
  <si>
    <t>Gratificacióones y Bonificaciónes</t>
  </si>
  <si>
    <t>CORBOS</t>
  </si>
  <si>
    <t>MANTENIMIENTO Y REPARACION DE INMUEBLES</t>
  </si>
  <si>
    <t>DIFERENCIA ENTRE ACTIVOS (FIJOS?) MES ANTERIOR Y MES ACTUAL</t>
  </si>
  <si>
    <t>DIFERENCIA ENTRE DISPONIBILIDADES MES ANTERIOR Y MES ACTUAL</t>
  </si>
  <si>
    <t>INCENTIVO</t>
  </si>
  <si>
    <t>Premios al Personal</t>
  </si>
  <si>
    <t>Perdida por Robo, Asalto y Fraude</t>
  </si>
  <si>
    <t>Otros Sueldos y Bonificaciones Personal Permanente</t>
  </si>
  <si>
    <t>CUADRE DE GASTOS &amp; INGRESOS</t>
  </si>
  <si>
    <t>AÑO : 2022</t>
  </si>
  <si>
    <t>PESTAMOS TASA 0</t>
  </si>
  <si>
    <t>GASTOS FINANCIEROS POR VALORES EN PODER DE</t>
  </si>
  <si>
    <t>HOJAS</t>
  </si>
  <si>
    <t>OTROS INGRESOS OPERACIONALES</t>
  </si>
  <si>
    <t>INGRESOS NO OPERACIONALES</t>
  </si>
  <si>
    <t>18. Nada puede estar negativo en las hojas</t>
  </si>
  <si>
    <t>PERDIDA POR AMORTIZACION DE PRIMA</t>
  </si>
  <si>
    <t>BALANZA</t>
  </si>
  <si>
    <t>Pérdida por Deterioro de Bienes Recibidos en Rec.</t>
  </si>
  <si>
    <t>APORTES AL FONDO DE CONTINGENCIA</t>
  </si>
  <si>
    <t>PERDIDA POR FRAUDE INTERNO</t>
  </si>
  <si>
    <t>OTROS GASTOS</t>
  </si>
  <si>
    <t>511.02.1.03.02</t>
  </si>
  <si>
    <t>511.02.1.03.03</t>
  </si>
  <si>
    <t>511.02.1.03.01</t>
  </si>
  <si>
    <t>511.03</t>
  </si>
  <si>
    <t>512</t>
  </si>
  <si>
    <t>513.03</t>
  </si>
  <si>
    <t>517.03.1.03.02</t>
  </si>
  <si>
    <t>529</t>
  </si>
  <si>
    <t>53</t>
  </si>
  <si>
    <t>531.01.1.01</t>
  </si>
  <si>
    <t>531.01.1.02</t>
  </si>
  <si>
    <t>531.02</t>
  </si>
  <si>
    <t>531.03</t>
  </si>
  <si>
    <t>531.05</t>
  </si>
  <si>
    <t>531.06</t>
  </si>
  <si>
    <t>531.07</t>
  </si>
  <si>
    <t>531.08</t>
  </si>
  <si>
    <t>531.08.1.03</t>
  </si>
  <si>
    <t>531.11</t>
  </si>
  <si>
    <t>531.12</t>
  </si>
  <si>
    <t>531.14</t>
  </si>
  <si>
    <t>531.14.1.02</t>
  </si>
  <si>
    <t>531.14.1.03</t>
  </si>
  <si>
    <t>CONFERENCIAS</t>
  </si>
  <si>
    <t>531.15</t>
  </si>
  <si>
    <t>531.17</t>
  </si>
  <si>
    <t>531.18</t>
  </si>
  <si>
    <t>531.99</t>
  </si>
  <si>
    <t>531.99.1.02</t>
  </si>
  <si>
    <t>531.99.1.04</t>
  </si>
  <si>
    <t>531.99.1.09</t>
  </si>
  <si>
    <t>531.99.1.10</t>
  </si>
  <si>
    <t>532</t>
  </si>
  <si>
    <t>532.02</t>
  </si>
  <si>
    <t>532.03</t>
  </si>
  <si>
    <t>532.04</t>
  </si>
  <si>
    <t>532.06</t>
  </si>
  <si>
    <t>532.99</t>
  </si>
  <si>
    <t>533</t>
  </si>
  <si>
    <t>533.01</t>
  </si>
  <si>
    <t>533.02</t>
  </si>
  <si>
    <t>533.03</t>
  </si>
  <si>
    <t>533.03.1.01</t>
  </si>
  <si>
    <t>533.03.1.02</t>
  </si>
  <si>
    <t>533.03.1.03</t>
  </si>
  <si>
    <t>533.03.1.09</t>
  </si>
  <si>
    <t>533.05</t>
  </si>
  <si>
    <t>533.06</t>
  </si>
  <si>
    <t>533.99</t>
  </si>
  <si>
    <t>533.99.1.01</t>
  </si>
  <si>
    <t>533.99.1.09</t>
  </si>
  <si>
    <t>534</t>
  </si>
  <si>
    <t>534.01.1.01</t>
  </si>
  <si>
    <t>534.03.1.01</t>
  </si>
  <si>
    <t>534.03.1.02</t>
  </si>
  <si>
    <t>534.03.1.03</t>
  </si>
  <si>
    <t>534.03.1.03.01</t>
  </si>
  <si>
    <t>534.03.1.03.02</t>
  </si>
  <si>
    <t>534.05</t>
  </si>
  <si>
    <t>534.06</t>
  </si>
  <si>
    <t>539</t>
  </si>
  <si>
    <t>539.02</t>
  </si>
  <si>
    <t>539.06</t>
  </si>
  <si>
    <t>539.06.1.01</t>
  </si>
  <si>
    <t>539.06.1.02</t>
  </si>
  <si>
    <t>539.06.1.03</t>
  </si>
  <si>
    <t>539.07</t>
  </si>
  <si>
    <t>539.08</t>
  </si>
  <si>
    <t>539.09</t>
  </si>
  <si>
    <t>539.12</t>
  </si>
  <si>
    <t>539.13</t>
  </si>
  <si>
    <t>539.99</t>
  </si>
  <si>
    <t>54</t>
  </si>
  <si>
    <t>541</t>
  </si>
  <si>
    <t>541.05</t>
  </si>
  <si>
    <t>543</t>
  </si>
  <si>
    <t>543.01.1.01</t>
  </si>
  <si>
    <t>543.01.1.02</t>
  </si>
  <si>
    <t>543.02</t>
  </si>
  <si>
    <t>56</t>
  </si>
  <si>
    <t>561.01</t>
  </si>
  <si>
    <t>562</t>
  </si>
  <si>
    <t>513.01</t>
  </si>
  <si>
    <t>534.08</t>
  </si>
  <si>
    <t>531.13</t>
  </si>
  <si>
    <t>RECUPERACION MENSUAL</t>
  </si>
  <si>
    <t>DESEMBOLSOS MENSUAL</t>
  </si>
  <si>
    <t>CARGOS POR DEPOSITOS DE AHORROS</t>
  </si>
  <si>
    <t>531.99.1.01</t>
  </si>
  <si>
    <t>OTROS INGRESOS</t>
  </si>
  <si>
    <t>PARTE MENSUAL DEL PRESUPUESTO 83,333,333 + (323.02.1.01) [CREDITO]</t>
  </si>
  <si>
    <t>JUNIO</t>
  </si>
  <si>
    <t>SERIVICIOS</t>
  </si>
  <si>
    <t>JULIO</t>
  </si>
  <si>
    <t>Otros gastos por bienes diversos| OTROS GASTOS DE INFRAESTRUCTURA</t>
  </si>
  <si>
    <t>AGOSTO</t>
  </si>
  <si>
    <t xml:space="preserve">544.02.1.01     </t>
  </si>
  <si>
    <t>SEPTIEMBRE</t>
  </si>
  <si>
    <t>OCTUBRE</t>
  </si>
  <si>
    <t>HOMOLOGO MENSUAL</t>
  </si>
  <si>
    <t>COBROS MENSUAL</t>
  </si>
  <si>
    <t>534.09+534.99</t>
  </si>
  <si>
    <t>NOVIEMBRE</t>
  </si>
  <si>
    <t>DICIEMBRE</t>
  </si>
  <si>
    <t>MES: DICIEMBRE</t>
  </si>
  <si>
    <t>NOVIEMBRE 2022</t>
  </si>
  <si>
    <t>DICIEMBRE 2022</t>
  </si>
  <si>
    <t>cobros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</si>
</sst>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#,##0;\(#,##0\);0"/>
    <numFmt numFmtId="167" formatCode="_(* #,##0.00_);_(* \(#,##0.00\);_(* \-??_);_(@_)"/>
    <numFmt numFmtId="168" formatCode="#,##0.00;\(#,##0.00\);0.00"/>
    <numFmt numFmtId="169" formatCode="_(* #,##0.0_);_(* \(#,##0.0\);_(* &quot;-&quot;??_);_(@_)"/>
    <numFmt numFmtId="170" formatCode="#,##0.00;\-#,##0.00;0.00"/>
    <numFmt numFmtId="171" formatCode="#,##0.0;\-#,##0.0;0.0"/>
    <numFmt numFmtId="172" formatCode="#,##0.000;\-#,##0.000;0.000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Arial Black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6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4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6"/>
      <name val="Times New Roman"/>
      <family val="1"/>
    </font>
    <font>
      <sz val="10"/>
      <color rgb="FFFFABAB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3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  <scheme val="minor"/>
    </font>
    <font>
      <sz val="12"/>
      <color theme="3"/>
      <name val="Calibri"/>
      <family val="2"/>
      <scheme val="minor"/>
    </font>
    <font>
      <sz val="13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33CC33"/>
      <name val="Calibri"/>
      <family val="2"/>
      <scheme val="minor"/>
    </font>
    <font>
      <sz val="12"/>
      <color rgb="FF33CC3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0"/>
      <color theme="3" tint="-0.499984740745262"/>
      <name val="Times New Roman"/>
      <family val="1"/>
    </font>
    <font>
      <sz val="26"/>
      <color theme="3"/>
      <name val="Calibri"/>
      <family val="2"/>
      <scheme val="minor"/>
    </font>
    <font>
      <b/>
      <sz val="11"/>
      <color rgb="FFFF0000"/>
      <name val="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rgb="FF00B050"/>
      <name val="Calibri"/>
      <family val="2"/>
      <scheme val="minor"/>
    </font>
    <font>
      <b/>
      <sz val="10"/>
      <color theme="9"/>
      <name val="Arial"/>
      <family val="2"/>
    </font>
    <font>
      <b/>
      <sz val="10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2CC"/>
        <bgColor indexed="9"/>
      </patternFill>
    </fill>
    <fill>
      <patternFill patternType="solid">
        <fgColor rgb="FFE2EFDA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rgb="FFFF9999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rgb="FFFF6699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7" fontId="3" fillId="0" borderId="0" applyBorder="0" applyProtection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1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8" fillId="2" borderId="0" xfId="0" applyFont="1" applyFill="1"/>
    <xf numFmtId="0" fontId="4" fillId="2" borderId="6" xfId="0" applyFont="1" applyFill="1" applyBorder="1"/>
    <xf numFmtId="0" fontId="4" fillId="2" borderId="10" xfId="0" applyFont="1" applyFill="1" applyBorder="1"/>
    <xf numFmtId="0" fontId="5" fillId="2" borderId="2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165" fontId="4" fillId="2" borderId="0" xfId="0" applyNumberFormat="1" applyFont="1" applyFill="1"/>
    <xf numFmtId="0" fontId="5" fillId="2" borderId="4" xfId="0" applyFont="1" applyFill="1" applyBorder="1"/>
    <xf numFmtId="0" fontId="4" fillId="2" borderId="14" xfId="0" applyFont="1" applyFill="1" applyBorder="1"/>
    <xf numFmtId="0" fontId="4" fillId="2" borderId="13" xfId="0" applyFont="1" applyFill="1" applyBorder="1"/>
    <xf numFmtId="0" fontId="19" fillId="2" borderId="0" xfId="0" applyFont="1" applyFill="1"/>
    <xf numFmtId="0" fontId="4" fillId="2" borderId="9" xfId="0" applyFont="1" applyFill="1" applyBorder="1"/>
    <xf numFmtId="165" fontId="4" fillId="2" borderId="1" xfId="0" applyNumberFormat="1" applyFont="1" applyFill="1" applyBorder="1"/>
    <xf numFmtId="43" fontId="4" fillId="2" borderId="1" xfId="1" applyFont="1" applyFill="1" applyBorder="1"/>
    <xf numFmtId="165" fontId="0" fillId="2" borderId="0" xfId="1" applyNumberFormat="1" applyFont="1" applyFill="1" applyBorder="1"/>
    <xf numFmtId="49" fontId="5" fillId="2" borderId="45" xfId="0" applyNumberFormat="1" applyFont="1" applyFill="1" applyBorder="1" applyAlignment="1">
      <alignment horizontal="center"/>
    </xf>
    <xf numFmtId="0" fontId="4" fillId="2" borderId="47" xfId="0" applyFont="1" applyFill="1" applyBorder="1"/>
    <xf numFmtId="0" fontId="5" fillId="2" borderId="9" xfId="0" applyFont="1" applyFill="1" applyBorder="1"/>
    <xf numFmtId="0" fontId="4" fillId="0" borderId="6" xfId="0" applyFont="1" applyBorder="1"/>
    <xf numFmtId="0" fontId="4" fillId="0" borderId="0" xfId="0" applyFont="1"/>
    <xf numFmtId="0" fontId="4" fillId="0" borderId="13" xfId="0" applyFont="1" applyBorder="1"/>
    <xf numFmtId="0" fontId="4" fillId="0" borderId="1" xfId="0" applyFont="1" applyBorder="1"/>
    <xf numFmtId="43" fontId="4" fillId="2" borderId="0" xfId="1" applyFont="1" applyFill="1"/>
    <xf numFmtId="0" fontId="5" fillId="2" borderId="50" xfId="0" applyFont="1" applyFill="1" applyBorder="1" applyAlignment="1">
      <alignment horizontal="center"/>
    </xf>
    <xf numFmtId="0" fontId="4" fillId="0" borderId="14" xfId="0" applyFont="1" applyBorder="1"/>
    <xf numFmtId="0" fontId="22" fillId="2" borderId="13" xfId="0" applyFont="1" applyFill="1" applyBorder="1"/>
    <xf numFmtId="0" fontId="21" fillId="2" borderId="6" xfId="0" applyFont="1" applyFill="1" applyBorder="1"/>
    <xf numFmtId="0" fontId="21" fillId="2" borderId="8" xfId="0" applyFont="1" applyFill="1" applyBorder="1"/>
    <xf numFmtId="0" fontId="21" fillId="2" borderId="7" xfId="0" applyFont="1" applyFill="1" applyBorder="1"/>
    <xf numFmtId="0" fontId="21" fillId="2" borderId="27" xfId="0" applyFont="1" applyFill="1" applyBorder="1"/>
    <xf numFmtId="165" fontId="13" fillId="2" borderId="0" xfId="1" applyNumberFormat="1" applyFont="1" applyFill="1" applyBorder="1"/>
    <xf numFmtId="0" fontId="15" fillId="3" borderId="0" xfId="0" applyFont="1" applyFill="1"/>
    <xf numFmtId="0" fontId="15" fillId="3" borderId="6" xfId="0" applyFont="1" applyFill="1" applyBorder="1"/>
    <xf numFmtId="0" fontId="15" fillId="3" borderId="14" xfId="0" applyFont="1" applyFill="1" applyBorder="1"/>
    <xf numFmtId="49" fontId="15" fillId="3" borderId="14" xfId="0" applyNumberFormat="1" applyFont="1" applyFill="1" applyBorder="1"/>
    <xf numFmtId="0" fontId="16" fillId="3" borderId="6" xfId="0" applyFont="1" applyFill="1" applyBorder="1"/>
    <xf numFmtId="49" fontId="15" fillId="3" borderId="6" xfId="0" applyNumberFormat="1" applyFont="1" applyFill="1" applyBorder="1"/>
    <xf numFmtId="165" fontId="15" fillId="3" borderId="0" xfId="0" applyNumberFormat="1" applyFont="1" applyFill="1"/>
    <xf numFmtId="49" fontId="23" fillId="3" borderId="0" xfId="0" applyNumberFormat="1" applyFont="1" applyFill="1"/>
    <xf numFmtId="0" fontId="23" fillId="3" borderId="13" xfId="0" applyFont="1" applyFill="1" applyBorder="1"/>
    <xf numFmtId="0" fontId="4" fillId="3" borderId="6" xfId="0" applyFont="1" applyFill="1" applyBorder="1"/>
    <xf numFmtId="165" fontId="4" fillId="3" borderId="0" xfId="1" applyNumberFormat="1" applyFont="1" applyFill="1" applyBorder="1"/>
    <xf numFmtId="49" fontId="4" fillId="3" borderId="0" xfId="0" applyNumberFormat="1" applyFont="1" applyFill="1"/>
    <xf numFmtId="0" fontId="4" fillId="3" borderId="13" xfId="0" applyFont="1" applyFill="1" applyBorder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0" xfId="0" applyFont="1" applyFill="1"/>
    <xf numFmtId="165" fontId="4" fillId="3" borderId="1" xfId="0" applyNumberFormat="1" applyFont="1" applyFill="1" applyBorder="1"/>
    <xf numFmtId="49" fontId="15" fillId="3" borderId="6" xfId="0" applyNumberFormat="1" applyFont="1" applyFill="1" applyBorder="1" applyAlignment="1">
      <alignment horizontal="right"/>
    </xf>
    <xf numFmtId="0" fontId="15" fillId="3" borderId="13" xfId="0" applyFont="1" applyFill="1" applyBorder="1"/>
    <xf numFmtId="0" fontId="16" fillId="3" borderId="0" xfId="0" applyFont="1" applyFill="1"/>
    <xf numFmtId="0" fontId="16" fillId="3" borderId="13" xfId="0" applyFont="1" applyFill="1" applyBorder="1"/>
    <xf numFmtId="49" fontId="16" fillId="3" borderId="6" xfId="0" applyNumberFormat="1" applyFont="1" applyFill="1" applyBorder="1"/>
    <xf numFmtId="0" fontId="16" fillId="3" borderId="14" xfId="0" applyFont="1" applyFill="1" applyBorder="1"/>
    <xf numFmtId="49" fontId="16" fillId="3" borderId="14" xfId="0" applyNumberFormat="1" applyFont="1" applyFill="1" applyBorder="1"/>
    <xf numFmtId="165" fontId="21" fillId="3" borderId="11" xfId="1" applyNumberFormat="1" applyFont="1" applyFill="1" applyBorder="1"/>
    <xf numFmtId="165" fontId="21" fillId="3" borderId="0" xfId="1" applyNumberFormat="1" applyFont="1" applyFill="1" applyBorder="1"/>
    <xf numFmtId="165" fontId="21" fillId="3" borderId="14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5" fillId="3" borderId="0" xfId="1" applyNumberFormat="1" applyFont="1" applyFill="1" applyBorder="1"/>
    <xf numFmtId="165" fontId="22" fillId="3" borderId="14" xfId="1" applyNumberFormat="1" applyFont="1" applyFill="1" applyBorder="1"/>
    <xf numFmtId="4" fontId="4" fillId="2" borderId="0" xfId="0" applyNumberFormat="1" applyFont="1" applyFill="1"/>
    <xf numFmtId="43" fontId="15" fillId="3" borderId="0" xfId="1" applyFont="1" applyFill="1"/>
    <xf numFmtId="0" fontId="16" fillId="3" borderId="8" xfId="0" applyFont="1" applyFill="1" applyBorder="1"/>
    <xf numFmtId="0" fontId="16" fillId="3" borderId="7" xfId="0" applyFont="1" applyFill="1" applyBorder="1"/>
    <xf numFmtId="43" fontId="4" fillId="0" borderId="0" xfId="1" applyFont="1" applyFill="1"/>
    <xf numFmtId="0" fontId="31" fillId="0" borderId="0" xfId="0" applyFont="1" applyAlignment="1">
      <alignment horizontal="center"/>
    </xf>
    <xf numFmtId="17" fontId="31" fillId="0" borderId="0" xfId="0" applyNumberFormat="1" applyFont="1" applyAlignment="1">
      <alignment horizontal="center"/>
    </xf>
    <xf numFmtId="17" fontId="32" fillId="0" borderId="0" xfId="0" applyNumberFormat="1" applyFont="1" applyAlignment="1">
      <alignment horizontal="center"/>
    </xf>
    <xf numFmtId="165" fontId="0" fillId="0" borderId="0" xfId="2" applyNumberFormat="1" applyFont="1"/>
    <xf numFmtId="165" fontId="0" fillId="10" borderId="0" xfId="2" applyNumberFormat="1" applyFont="1" applyFill="1"/>
    <xf numFmtId="43" fontId="0" fillId="0" borderId="0" xfId="6" applyFont="1"/>
    <xf numFmtId="0" fontId="32" fillId="0" borderId="0" xfId="0" applyFont="1"/>
    <xf numFmtId="165" fontId="32" fillId="0" borderId="25" xfId="2" applyNumberFormat="1" applyFont="1" applyBorder="1"/>
    <xf numFmtId="165" fontId="3" fillId="0" borderId="0" xfId="0" applyNumberFormat="1" applyFont="1"/>
    <xf numFmtId="0" fontId="3" fillId="0" borderId="0" xfId="0" applyFont="1"/>
    <xf numFmtId="0" fontId="32" fillId="0" borderId="0" xfId="0" applyFont="1" applyAlignment="1">
      <alignment horizontal="center"/>
    </xf>
    <xf numFmtId="165" fontId="0" fillId="0" borderId="48" xfId="2" applyNumberFormat="1" applyFont="1" applyBorder="1"/>
    <xf numFmtId="0" fontId="6" fillId="0" borderId="0" xfId="0" applyFont="1"/>
    <xf numFmtId="165" fontId="32" fillId="0" borderId="0" xfId="2" applyNumberFormat="1" applyFont="1"/>
    <xf numFmtId="165" fontId="0" fillId="0" borderId="0" xfId="0" applyNumberFormat="1"/>
    <xf numFmtId="17" fontId="33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12" xfId="0" applyBorder="1"/>
    <xf numFmtId="0" fontId="36" fillId="0" borderId="49" xfId="0" applyFont="1" applyBorder="1" applyAlignment="1">
      <alignment horizontal="center"/>
    </xf>
    <xf numFmtId="0" fontId="0" fillId="0" borderId="13" xfId="0" applyBorder="1"/>
    <xf numFmtId="165" fontId="0" fillId="0" borderId="14" xfId="1" applyNumberFormat="1" applyFont="1" applyBorder="1"/>
    <xf numFmtId="165" fontId="0" fillId="0" borderId="0" xfId="1" applyNumberFormat="1" applyFont="1"/>
    <xf numFmtId="0" fontId="3" fillId="0" borderId="13" xfId="0" applyFont="1" applyBorder="1"/>
    <xf numFmtId="0" fontId="0" fillId="0" borderId="53" xfId="0" applyBorder="1"/>
    <xf numFmtId="165" fontId="0" fillId="0" borderId="51" xfId="1" applyNumberFormat="1" applyFont="1" applyBorder="1"/>
    <xf numFmtId="0" fontId="6" fillId="0" borderId="13" xfId="0" applyFont="1" applyBorder="1"/>
    <xf numFmtId="165" fontId="37" fillId="0" borderId="0" xfId="1" applyNumberFormat="1" applyFont="1" applyAlignment="1"/>
    <xf numFmtId="0" fontId="37" fillId="0" borderId="0" xfId="0" applyFont="1"/>
    <xf numFmtId="165" fontId="37" fillId="0" borderId="0" xfId="1" applyNumberFormat="1" applyFont="1" applyAlignment="1">
      <alignment horizontal="center"/>
    </xf>
    <xf numFmtId="0" fontId="6" fillId="10" borderId="0" xfId="0" applyFont="1" applyFill="1"/>
    <xf numFmtId="0" fontId="0" fillId="10" borderId="0" xfId="0" applyFill="1"/>
    <xf numFmtId="165" fontId="3" fillId="0" borderId="0" xfId="1" applyNumberFormat="1" applyFont="1"/>
    <xf numFmtId="0" fontId="3" fillId="10" borderId="0" xfId="0" applyFont="1" applyFill="1"/>
    <xf numFmtId="165" fontId="6" fillId="0" borderId="0" xfId="1" applyNumberFormat="1" applyFont="1"/>
    <xf numFmtId="165" fontId="38" fillId="0" borderId="0" xfId="1" applyNumberFormat="1" applyFont="1"/>
    <xf numFmtId="165" fontId="39" fillId="11" borderId="52" xfId="1" applyNumberFormat="1" applyFont="1" applyFill="1" applyBorder="1"/>
    <xf numFmtId="165" fontId="0" fillId="0" borderId="0" xfId="1" applyNumberFormat="1" applyFont="1" applyFill="1"/>
    <xf numFmtId="165" fontId="40" fillId="0" borderId="0" xfId="1" applyNumberFormat="1" applyFont="1" applyFill="1" applyBorder="1" applyAlignment="1" applyProtection="1">
      <alignment horizontal="center"/>
    </xf>
    <xf numFmtId="165" fontId="3" fillId="11" borderId="0" xfId="1" applyNumberFormat="1" applyFont="1" applyFill="1"/>
    <xf numFmtId="0" fontId="30" fillId="0" borderId="0" xfId="0" applyFont="1" applyAlignment="1">
      <alignment horizontal="center"/>
    </xf>
    <xf numFmtId="0" fontId="37" fillId="0" borderId="0" xfId="1" applyNumberFormat="1" applyFont="1" applyAlignment="1">
      <alignment horizontal="center"/>
    </xf>
    <xf numFmtId="0" fontId="37" fillId="0" borderId="0" xfId="0" applyFont="1" applyAlignment="1">
      <alignment horizontal="center"/>
    </xf>
    <xf numFmtId="165" fontId="3" fillId="0" borderId="0" xfId="1" applyNumberFormat="1" applyFont="1" applyFill="1"/>
    <xf numFmtId="0" fontId="3" fillId="11" borderId="0" xfId="0" applyFont="1" applyFill="1"/>
    <xf numFmtId="0" fontId="0" fillId="11" borderId="0" xfId="0" applyFill="1"/>
    <xf numFmtId="0" fontId="3" fillId="13" borderId="0" xfId="0" applyFont="1" applyFill="1"/>
    <xf numFmtId="0" fontId="3" fillId="2" borderId="0" xfId="0" applyFont="1" applyFill="1"/>
    <xf numFmtId="165" fontId="3" fillId="2" borderId="0" xfId="1" applyNumberFormat="1" applyFont="1" applyFill="1"/>
    <xf numFmtId="0" fontId="3" fillId="14" borderId="0" xfId="0" applyFont="1" applyFill="1"/>
    <xf numFmtId="165" fontId="29" fillId="0" borderId="0" xfId="1" applyNumberFormat="1" applyFont="1" applyFill="1"/>
    <xf numFmtId="0" fontId="0" fillId="13" borderId="0" xfId="0" applyFill="1"/>
    <xf numFmtId="165" fontId="0" fillId="3" borderId="0" xfId="1" applyNumberFormat="1" applyFont="1" applyFill="1"/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11" borderId="0" xfId="0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38" fillId="0" borderId="0" xfId="1" applyNumberFormat="1" applyFont="1" applyFill="1"/>
    <xf numFmtId="165" fontId="0" fillId="0" borderId="0" xfId="1" applyNumberFormat="1" applyFont="1" applyBorder="1"/>
    <xf numFmtId="0" fontId="0" fillId="15" borderId="0" xfId="0" applyFill="1"/>
    <xf numFmtId="165" fontId="0" fillId="6" borderId="0" xfId="1" applyNumberFormat="1" applyFont="1" applyFill="1"/>
    <xf numFmtId="0" fontId="38" fillId="0" borderId="0" xfId="0" applyFont="1"/>
    <xf numFmtId="0" fontId="42" fillId="11" borderId="0" xfId="0" applyFont="1" applyFill="1"/>
    <xf numFmtId="165" fontId="0" fillId="7" borderId="0" xfId="1" applyNumberFormat="1" applyFont="1" applyFill="1"/>
    <xf numFmtId="165" fontId="0" fillId="8" borderId="0" xfId="1" applyNumberFormat="1" applyFont="1" applyFill="1"/>
    <xf numFmtId="165" fontId="6" fillId="10" borderId="0" xfId="1" applyNumberFormat="1" applyFont="1" applyFill="1"/>
    <xf numFmtId="165" fontId="0" fillId="9" borderId="0" xfId="1" applyNumberFormat="1" applyFont="1" applyFill="1"/>
    <xf numFmtId="0" fontId="17" fillId="0" borderId="13" xfId="0" applyFont="1" applyBorder="1"/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43" fontId="6" fillId="0" borderId="0" xfId="1" applyFont="1"/>
    <xf numFmtId="0" fontId="36" fillId="0" borderId="41" xfId="0" applyFont="1" applyBorder="1"/>
    <xf numFmtId="165" fontId="22" fillId="3" borderId="4" xfId="1" applyNumberFormat="1" applyFont="1" applyFill="1" applyBorder="1"/>
    <xf numFmtId="0" fontId="22" fillId="2" borderId="0" xfId="0" applyFont="1" applyFill="1"/>
    <xf numFmtId="0" fontId="22" fillId="2" borderId="4" xfId="0" applyFont="1" applyFill="1" applyBorder="1"/>
    <xf numFmtId="0" fontId="22" fillId="2" borderId="1" xfId="0" applyFont="1" applyFill="1" applyBorder="1"/>
    <xf numFmtId="165" fontId="22" fillId="2" borderId="0" xfId="0" applyNumberFormat="1" applyFont="1" applyFill="1"/>
    <xf numFmtId="165" fontId="22" fillId="3" borderId="0" xfId="0" applyNumberFormat="1" applyFont="1" applyFill="1"/>
    <xf numFmtId="165" fontId="21" fillId="3" borderId="0" xfId="0" applyNumberFormat="1" applyFont="1" applyFill="1"/>
    <xf numFmtId="0" fontId="22" fillId="3" borderId="0" xfId="0" applyFont="1" applyFill="1"/>
    <xf numFmtId="165" fontId="22" fillId="3" borderId="0" xfId="1" applyNumberFormat="1" applyFont="1" applyFill="1" applyBorder="1"/>
    <xf numFmtId="0" fontId="47" fillId="2" borderId="17" xfId="0" applyFont="1" applyFill="1" applyBorder="1" applyAlignment="1">
      <alignment horizontal="center"/>
    </xf>
    <xf numFmtId="165" fontId="21" fillId="3" borderId="6" xfId="0" applyNumberFormat="1" applyFont="1" applyFill="1" applyBorder="1"/>
    <xf numFmtId="165" fontId="22" fillId="3" borderId="13" xfId="1" applyNumberFormat="1" applyFont="1" applyFill="1" applyBorder="1"/>
    <xf numFmtId="165" fontId="21" fillId="3" borderId="13" xfId="1" applyNumberFormat="1" applyFont="1" applyFill="1" applyBorder="1"/>
    <xf numFmtId="165" fontId="23" fillId="3" borderId="14" xfId="1" applyNumberFormat="1" applyFont="1" applyFill="1" applyBorder="1"/>
    <xf numFmtId="165" fontId="51" fillId="3" borderId="14" xfId="1" applyNumberFormat="1" applyFont="1" applyFill="1" applyBorder="1"/>
    <xf numFmtId="165" fontId="22" fillId="3" borderId="6" xfId="1" applyNumberFormat="1" applyFont="1" applyFill="1" applyBorder="1"/>
    <xf numFmtId="165" fontId="21" fillId="3" borderId="30" xfId="1" applyNumberFormat="1" applyFont="1" applyFill="1" applyBorder="1"/>
    <xf numFmtId="165" fontId="22" fillId="3" borderId="11" xfId="1" applyNumberFormat="1" applyFont="1" applyFill="1" applyBorder="1"/>
    <xf numFmtId="165" fontId="21" fillId="2" borderId="11" xfId="1" applyNumberFormat="1" applyFont="1" applyFill="1" applyBorder="1"/>
    <xf numFmtId="165" fontId="22" fillId="2" borderId="11" xfId="1" applyNumberFormat="1" applyFont="1" applyFill="1" applyBorder="1"/>
    <xf numFmtId="165" fontId="22" fillId="2" borderId="31" xfId="1" applyNumberFormat="1" applyFont="1" applyFill="1" applyBorder="1"/>
    <xf numFmtId="165" fontId="21" fillId="3" borderId="6" xfId="1" applyNumberFormat="1" applyFont="1" applyFill="1" applyBorder="1"/>
    <xf numFmtId="165" fontId="23" fillId="3" borderId="6" xfId="1" applyNumberFormat="1" applyFont="1" applyFill="1" applyBorder="1"/>
    <xf numFmtId="165" fontId="21" fillId="2" borderId="0" xfId="1" applyNumberFormat="1" applyFont="1" applyFill="1"/>
    <xf numFmtId="165" fontId="21" fillId="3" borderId="0" xfId="1" applyNumberFormat="1" applyFont="1" applyFill="1"/>
    <xf numFmtId="165" fontId="39" fillId="11" borderId="0" xfId="1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7" fontId="9" fillId="3" borderId="52" xfId="0" applyNumberFormat="1" applyFont="1" applyFill="1" applyBorder="1"/>
    <xf numFmtId="165" fontId="53" fillId="20" borderId="0" xfId="1" applyNumberFormat="1" applyFont="1" applyFill="1"/>
    <xf numFmtId="43" fontId="43" fillId="0" borderId="0" xfId="1" applyFont="1" applyAlignment="1">
      <alignment horizontal="center"/>
    </xf>
    <xf numFmtId="165" fontId="3" fillId="11" borderId="0" xfId="0" applyNumberFormat="1" applyFont="1" applyFill="1"/>
    <xf numFmtId="165" fontId="0" fillId="4" borderId="0" xfId="1" applyNumberFormat="1" applyFont="1" applyFill="1"/>
    <xf numFmtId="0" fontId="0" fillId="4" borderId="0" xfId="0" applyFill="1"/>
    <xf numFmtId="0" fontId="3" fillId="4" borderId="0" xfId="0" applyFont="1" applyFill="1"/>
    <xf numFmtId="37" fontId="9" fillId="4" borderId="0" xfId="0" applyNumberFormat="1" applyFont="1" applyFill="1"/>
    <xf numFmtId="9" fontId="3" fillId="0" borderId="0" xfId="4" applyFont="1" applyFill="1"/>
    <xf numFmtId="165" fontId="6" fillId="0" borderId="0" xfId="1" applyNumberFormat="1" applyFont="1" applyFill="1"/>
    <xf numFmtId="0" fontId="36" fillId="0" borderId="41" xfId="0" applyFont="1" applyBorder="1" applyAlignment="1">
      <alignment horizontal="center"/>
    </xf>
    <xf numFmtId="164" fontId="0" fillId="0" borderId="0" xfId="3" applyFont="1" applyBorder="1"/>
    <xf numFmtId="165" fontId="0" fillId="0" borderId="48" xfId="1" applyNumberFormat="1" applyFont="1" applyBorder="1"/>
    <xf numFmtId="0" fontId="0" fillId="0" borderId="17" xfId="0" applyBorder="1"/>
    <xf numFmtId="0" fontId="0" fillId="0" borderId="6" xfId="0" applyBorder="1"/>
    <xf numFmtId="164" fontId="0" fillId="0" borderId="6" xfId="3" applyFont="1" applyBorder="1"/>
    <xf numFmtId="165" fontId="0" fillId="0" borderId="6" xfId="1" applyNumberFormat="1" applyFont="1" applyBorder="1"/>
    <xf numFmtId="165" fontId="0" fillId="0" borderId="42" xfId="1" applyNumberFormat="1" applyFont="1" applyBorder="1"/>
    <xf numFmtId="0" fontId="4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165" fontId="23" fillId="3" borderId="0" xfId="1" applyNumberFormat="1" applyFont="1" applyFill="1" applyBorder="1"/>
    <xf numFmtId="165" fontId="25" fillId="2" borderId="0" xfId="1" applyNumberFormat="1" applyFont="1" applyFill="1" applyBorder="1"/>
    <xf numFmtId="0" fontId="3" fillId="5" borderId="0" xfId="0" applyFont="1" applyFill="1"/>
    <xf numFmtId="165" fontId="0" fillId="5" borderId="0" xfId="1" applyNumberFormat="1" applyFont="1" applyFill="1"/>
    <xf numFmtId="0" fontId="0" fillId="3" borderId="0" xfId="0" applyFill="1"/>
    <xf numFmtId="0" fontId="0" fillId="23" borderId="0" xfId="0" applyFill="1"/>
    <xf numFmtId="165" fontId="0" fillId="23" borderId="0" xfId="1" applyNumberFormat="1" applyFont="1" applyFill="1"/>
    <xf numFmtId="0" fontId="0" fillId="6" borderId="0" xfId="0" applyFill="1"/>
    <xf numFmtId="0" fontId="0" fillId="24" borderId="0" xfId="0" applyFill="1"/>
    <xf numFmtId="165" fontId="0" fillId="24" borderId="0" xfId="1" applyNumberFormat="1" applyFont="1" applyFill="1"/>
    <xf numFmtId="165" fontId="41" fillId="24" borderId="0" xfId="1" applyNumberFormat="1" applyFont="1" applyFill="1"/>
    <xf numFmtId="0" fontId="47" fillId="3" borderId="0" xfId="0" applyFont="1" applyFill="1"/>
    <xf numFmtId="165" fontId="22" fillId="3" borderId="0" xfId="1" applyNumberFormat="1" applyFont="1" applyFill="1"/>
    <xf numFmtId="49" fontId="22" fillId="3" borderId="2" xfId="0" applyNumberFormat="1" applyFont="1" applyFill="1" applyBorder="1"/>
    <xf numFmtId="49" fontId="22" fillId="3" borderId="13" xfId="0" applyNumberFormat="1" applyFont="1" applyFill="1" applyBorder="1"/>
    <xf numFmtId="0" fontId="22" fillId="3" borderId="6" xfId="0" applyFont="1" applyFill="1" applyBorder="1"/>
    <xf numFmtId="49" fontId="22" fillId="3" borderId="0" xfId="0" applyNumberFormat="1" applyFont="1" applyFill="1"/>
    <xf numFmtId="49" fontId="22" fillId="3" borderId="6" xfId="0" applyNumberFormat="1" applyFont="1" applyFill="1" applyBorder="1" applyAlignment="1">
      <alignment horizontal="right"/>
    </xf>
    <xf numFmtId="0" fontId="22" fillId="3" borderId="13" xfId="0" applyFont="1" applyFill="1" applyBorder="1"/>
    <xf numFmtId="49" fontId="22" fillId="3" borderId="6" xfId="0" applyNumberFormat="1" applyFont="1" applyFill="1" applyBorder="1"/>
    <xf numFmtId="43" fontId="22" fillId="3" borderId="0" xfId="0" applyNumberFormat="1" applyFont="1" applyFill="1"/>
    <xf numFmtId="0" fontId="21" fillId="3" borderId="0" xfId="0" applyFont="1" applyFill="1"/>
    <xf numFmtId="0" fontId="21" fillId="3" borderId="13" xfId="0" applyFont="1" applyFill="1" applyBorder="1"/>
    <xf numFmtId="0" fontId="21" fillId="3" borderId="6" xfId="0" applyFont="1" applyFill="1" applyBorder="1"/>
    <xf numFmtId="49" fontId="21" fillId="3" borderId="6" xfId="0" applyNumberFormat="1" applyFont="1" applyFill="1" applyBorder="1"/>
    <xf numFmtId="43" fontId="22" fillId="3" borderId="0" xfId="1" applyFont="1" applyFill="1"/>
    <xf numFmtId="0" fontId="21" fillId="3" borderId="0" xfId="0" applyFont="1" applyFill="1" applyAlignment="1">
      <alignment wrapText="1"/>
    </xf>
    <xf numFmtId="0" fontId="22" fillId="3" borderId="4" xfId="0" applyFont="1" applyFill="1" applyBorder="1"/>
    <xf numFmtId="165" fontId="22" fillId="3" borderId="31" xfId="1" applyNumberFormat="1" applyFont="1" applyFill="1" applyBorder="1"/>
    <xf numFmtId="0" fontId="22" fillId="3" borderId="2" xfId="0" applyFont="1" applyFill="1" applyBorder="1"/>
    <xf numFmtId="0" fontId="45" fillId="3" borderId="0" xfId="0" applyFont="1" applyFill="1"/>
    <xf numFmtId="0" fontId="22" fillId="3" borderId="1" xfId="0" applyFont="1" applyFill="1" applyBorder="1"/>
    <xf numFmtId="0" fontId="21" fillId="3" borderId="3" xfId="0" applyFont="1" applyFill="1" applyBorder="1"/>
    <xf numFmtId="0" fontId="21" fillId="3" borderId="4" xfId="0" applyFont="1" applyFill="1" applyBorder="1"/>
    <xf numFmtId="0" fontId="22" fillId="3" borderId="5" xfId="0" applyFont="1" applyFill="1" applyBorder="1"/>
    <xf numFmtId="0" fontId="47" fillId="3" borderId="19" xfId="0" applyFont="1" applyFill="1" applyBorder="1" applyAlignment="1">
      <alignment horizontal="center"/>
    </xf>
    <xf numFmtId="0" fontId="47" fillId="3" borderId="13" xfId="0" applyFont="1" applyFill="1" applyBorder="1"/>
    <xf numFmtId="0" fontId="47" fillId="3" borderId="6" xfId="0" applyFont="1" applyFill="1" applyBorder="1"/>
    <xf numFmtId="0" fontId="47" fillId="3" borderId="1" xfId="0" applyFont="1" applyFill="1" applyBorder="1"/>
    <xf numFmtId="0" fontId="49" fillId="3" borderId="3" xfId="0" applyFont="1" applyFill="1" applyBorder="1" applyAlignment="1">
      <alignment horizontal="center"/>
    </xf>
    <xf numFmtId="0" fontId="49" fillId="3" borderId="10" xfId="0" applyFont="1" applyFill="1" applyBorder="1" applyAlignment="1">
      <alignment horizontal="center"/>
    </xf>
    <xf numFmtId="0" fontId="49" fillId="3" borderId="4" xfId="0" applyFont="1" applyFill="1" applyBorder="1" applyAlignment="1">
      <alignment horizontal="center"/>
    </xf>
    <xf numFmtId="0" fontId="49" fillId="3" borderId="20" xfId="0" applyFont="1" applyFill="1" applyBorder="1" applyAlignment="1">
      <alignment horizontal="center"/>
    </xf>
    <xf numFmtId="49" fontId="47" fillId="3" borderId="13" xfId="0" applyNumberFormat="1" applyFont="1" applyFill="1" applyBorder="1" applyAlignment="1">
      <alignment horizontal="center"/>
    </xf>
    <xf numFmtId="49" fontId="47" fillId="3" borderId="10" xfId="0" applyNumberFormat="1" applyFont="1" applyFill="1" applyBorder="1" applyAlignment="1">
      <alignment horizontal="center"/>
    </xf>
    <xf numFmtId="49" fontId="47" fillId="3" borderId="5" xfId="0" applyNumberFormat="1" applyFont="1" applyFill="1" applyBorder="1" applyAlignment="1">
      <alignment horizontal="center"/>
    </xf>
    <xf numFmtId="49" fontId="21" fillId="3" borderId="26" xfId="0" applyNumberFormat="1" applyFont="1" applyFill="1" applyBorder="1"/>
    <xf numFmtId="49" fontId="21" fillId="3" borderId="21" xfId="0" applyNumberFormat="1" applyFont="1" applyFill="1" applyBorder="1"/>
    <xf numFmtId="0" fontId="21" fillId="3" borderId="8" xfId="0" applyFont="1" applyFill="1" applyBorder="1"/>
    <xf numFmtId="49" fontId="21" fillId="3" borderId="7" xfId="0" applyNumberFormat="1" applyFont="1" applyFill="1" applyBorder="1"/>
    <xf numFmtId="0" fontId="21" fillId="3" borderId="7" xfId="0" applyFont="1" applyFill="1" applyBorder="1"/>
    <xf numFmtId="0" fontId="21" fillId="3" borderId="21" xfId="0" applyFont="1" applyFill="1" applyBorder="1"/>
    <xf numFmtId="165" fontId="21" fillId="3" borderId="7" xfId="1" applyNumberFormat="1" applyFont="1" applyFill="1" applyBorder="1"/>
    <xf numFmtId="0" fontId="23" fillId="3" borderId="0" xfId="0" applyFont="1" applyFill="1"/>
    <xf numFmtId="9" fontId="22" fillId="3" borderId="0" xfId="0" applyNumberFormat="1" applyFont="1" applyFill="1"/>
    <xf numFmtId="49" fontId="22" fillId="3" borderId="3" xfId="0" applyNumberFormat="1" applyFont="1" applyFill="1" applyBorder="1"/>
    <xf numFmtId="49" fontId="22" fillId="3" borderId="20" xfId="0" applyNumberFormat="1" applyFont="1" applyFill="1" applyBorder="1"/>
    <xf numFmtId="0" fontId="22" fillId="3" borderId="10" xfId="0" applyFont="1" applyFill="1" applyBorder="1"/>
    <xf numFmtId="49" fontId="22" fillId="3" borderId="4" xfId="0" applyNumberFormat="1" applyFont="1" applyFill="1" applyBorder="1"/>
    <xf numFmtId="0" fontId="22" fillId="3" borderId="20" xfId="0" applyFont="1" applyFill="1" applyBorder="1"/>
    <xf numFmtId="49" fontId="22" fillId="3" borderId="10" xfId="0" applyNumberFormat="1" applyFont="1" applyFill="1" applyBorder="1"/>
    <xf numFmtId="0" fontId="48" fillId="3" borderId="0" xfId="0" applyFont="1" applyFill="1" applyAlignment="1">
      <alignment horizontal="left"/>
    </xf>
    <xf numFmtId="0" fontId="21" fillId="3" borderId="1" xfId="0" applyFont="1" applyFill="1" applyBorder="1"/>
    <xf numFmtId="0" fontId="49" fillId="3" borderId="19" xfId="0" applyFont="1" applyFill="1" applyBorder="1" applyAlignment="1">
      <alignment horizontal="center"/>
    </xf>
    <xf numFmtId="0" fontId="49" fillId="3" borderId="17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center"/>
    </xf>
    <xf numFmtId="0" fontId="49" fillId="3" borderId="2" xfId="0" applyFont="1" applyFill="1" applyBorder="1" applyAlignment="1">
      <alignment horizontal="center"/>
    </xf>
    <xf numFmtId="0" fontId="49" fillId="3" borderId="6" xfId="0" applyFont="1" applyFill="1" applyBorder="1" applyAlignment="1">
      <alignment horizontal="center"/>
    </xf>
    <xf numFmtId="0" fontId="49" fillId="3" borderId="0" xfId="0" applyFont="1" applyFill="1" applyAlignment="1">
      <alignment horizontal="center"/>
    </xf>
    <xf numFmtId="49" fontId="47" fillId="3" borderId="6" xfId="0" applyNumberFormat="1" applyFont="1" applyFill="1" applyBorder="1" applyAlignment="1">
      <alignment horizontal="center"/>
    </xf>
    <xf numFmtId="49" fontId="47" fillId="3" borderId="1" xfId="0" applyNumberFormat="1" applyFont="1" applyFill="1" applyBorder="1" applyAlignment="1">
      <alignment horizontal="center"/>
    </xf>
    <xf numFmtId="0" fontId="21" fillId="3" borderId="27" xfId="0" applyFont="1" applyFill="1" applyBorder="1"/>
    <xf numFmtId="165" fontId="21" fillId="3" borderId="8" xfId="1" applyNumberFormat="1" applyFont="1" applyFill="1" applyBorder="1"/>
    <xf numFmtId="0" fontId="22" fillId="3" borderId="14" xfId="0" applyFont="1" applyFill="1" applyBorder="1"/>
    <xf numFmtId="0" fontId="21" fillId="3" borderId="14" xfId="0" applyFont="1" applyFill="1" applyBorder="1"/>
    <xf numFmtId="165" fontId="22" fillId="3" borderId="10" xfId="1" applyNumberFormat="1" applyFont="1" applyFill="1" applyBorder="1"/>
    <xf numFmtId="49" fontId="22" fillId="3" borderId="22" xfId="0" applyNumberFormat="1" applyFont="1" applyFill="1" applyBorder="1"/>
    <xf numFmtId="49" fontId="22" fillId="3" borderId="23" xfId="0" applyNumberFormat="1" applyFont="1" applyFill="1" applyBorder="1"/>
    <xf numFmtId="0" fontId="22" fillId="3" borderId="24" xfId="0" applyFont="1" applyFill="1" applyBorder="1"/>
    <xf numFmtId="49" fontId="22" fillId="3" borderId="25" xfId="0" applyNumberFormat="1" applyFont="1" applyFill="1" applyBorder="1"/>
    <xf numFmtId="165" fontId="22" fillId="3" borderId="23" xfId="1" applyNumberFormat="1" applyFont="1" applyFill="1" applyBorder="1"/>
    <xf numFmtId="165" fontId="22" fillId="3" borderId="24" xfId="1" applyNumberFormat="1" applyFont="1" applyFill="1" applyBorder="1"/>
    <xf numFmtId="0" fontId="50" fillId="3" borderId="0" xfId="0" applyFont="1" applyFill="1"/>
    <xf numFmtId="0" fontId="23" fillId="3" borderId="4" xfId="0" applyFont="1" applyFill="1" applyBorder="1"/>
    <xf numFmtId="0" fontId="44" fillId="3" borderId="6" xfId="0" applyFont="1" applyFill="1" applyBorder="1"/>
    <xf numFmtId="49" fontId="44" fillId="3" borderId="10" xfId="0" applyNumberFormat="1" applyFont="1" applyFill="1" applyBorder="1" applyAlignment="1">
      <alignment horizontal="center"/>
    </xf>
    <xf numFmtId="165" fontId="51" fillId="3" borderId="27" xfId="1" applyNumberFormat="1" applyFont="1" applyFill="1" applyBorder="1"/>
    <xf numFmtId="165" fontId="51" fillId="3" borderId="0" xfId="1" applyNumberFormat="1" applyFont="1" applyFill="1" applyBorder="1"/>
    <xf numFmtId="165" fontId="51" fillId="3" borderId="14" xfId="1" applyNumberFormat="1" applyFont="1" applyFill="1" applyBorder="1" applyAlignment="1">
      <alignment vertical="center"/>
    </xf>
    <xf numFmtId="165" fontId="23" fillId="3" borderId="4" xfId="1" applyNumberFormat="1" applyFont="1" applyFill="1" applyBorder="1"/>
    <xf numFmtId="0" fontId="52" fillId="3" borderId="0" xfId="0" applyFont="1" applyFill="1"/>
    <xf numFmtId="0" fontId="23" fillId="3" borderId="2" xfId="0" applyFont="1" applyFill="1" applyBorder="1"/>
    <xf numFmtId="0" fontId="23" fillId="3" borderId="1" xfId="0" applyFont="1" applyFill="1" applyBorder="1"/>
    <xf numFmtId="0" fontId="51" fillId="3" borderId="2" xfId="0" applyFont="1" applyFill="1" applyBorder="1"/>
    <xf numFmtId="0" fontId="51" fillId="3" borderId="0" xfId="0" applyFont="1" applyFill="1"/>
    <xf numFmtId="0" fontId="51" fillId="3" borderId="3" xfId="0" applyFont="1" applyFill="1" applyBorder="1"/>
    <xf numFmtId="0" fontId="51" fillId="3" borderId="4" xfId="0" applyFont="1" applyFill="1" applyBorder="1"/>
    <xf numFmtId="0" fontId="44" fillId="3" borderId="0" xfId="0" applyFont="1" applyFill="1"/>
    <xf numFmtId="0" fontId="44" fillId="3" borderId="13" xfId="0" applyFont="1" applyFill="1" applyBorder="1"/>
    <xf numFmtId="0" fontId="44" fillId="3" borderId="1" xfId="0" applyFont="1" applyFill="1" applyBorder="1"/>
    <xf numFmtId="43" fontId="44" fillId="3" borderId="0" xfId="1" applyFont="1" applyFill="1"/>
    <xf numFmtId="49" fontId="51" fillId="3" borderId="26" xfId="0" applyNumberFormat="1" applyFont="1" applyFill="1" applyBorder="1"/>
    <xf numFmtId="49" fontId="51" fillId="3" borderId="21" xfId="0" applyNumberFormat="1" applyFont="1" applyFill="1" applyBorder="1"/>
    <xf numFmtId="0" fontId="51" fillId="3" borderId="8" xfId="0" applyFont="1" applyFill="1" applyBorder="1"/>
    <xf numFmtId="49" fontId="51" fillId="3" borderId="7" xfId="0" applyNumberFormat="1" applyFont="1" applyFill="1" applyBorder="1"/>
    <xf numFmtId="0" fontId="51" fillId="3" borderId="7" xfId="0" applyFont="1" applyFill="1" applyBorder="1"/>
    <xf numFmtId="0" fontId="51" fillId="3" borderId="27" xfId="0" applyFont="1" applyFill="1" applyBorder="1"/>
    <xf numFmtId="0" fontId="51" fillId="3" borderId="14" xfId="0" applyFont="1" applyFill="1" applyBorder="1"/>
    <xf numFmtId="0" fontId="51" fillId="3" borderId="6" xfId="0" applyFont="1" applyFill="1" applyBorder="1"/>
    <xf numFmtId="165" fontId="23" fillId="3" borderId="0" xfId="0" applyNumberFormat="1" applyFont="1" applyFill="1"/>
    <xf numFmtId="43" fontId="23" fillId="3" borderId="0" xfId="1" applyFont="1" applyFill="1"/>
    <xf numFmtId="49" fontId="23" fillId="3" borderId="2" xfId="0" applyNumberFormat="1" applyFont="1" applyFill="1" applyBorder="1"/>
    <xf numFmtId="49" fontId="23" fillId="3" borderId="13" xfId="0" applyNumberFormat="1" applyFont="1" applyFill="1" applyBorder="1"/>
    <xf numFmtId="0" fontId="23" fillId="3" borderId="6" xfId="0" applyFont="1" applyFill="1" applyBorder="1"/>
    <xf numFmtId="165" fontId="51" fillId="3" borderId="6" xfId="1" applyNumberFormat="1" applyFont="1" applyFill="1" applyBorder="1"/>
    <xf numFmtId="49" fontId="23" fillId="3" borderId="6" xfId="0" applyNumberFormat="1" applyFont="1" applyFill="1" applyBorder="1" applyAlignment="1">
      <alignment horizontal="right"/>
    </xf>
    <xf numFmtId="0" fontId="23" fillId="3" borderId="14" xfId="0" applyFont="1" applyFill="1" applyBorder="1"/>
    <xf numFmtId="49" fontId="23" fillId="3" borderId="14" xfId="0" applyNumberFormat="1" applyFont="1" applyFill="1" applyBorder="1"/>
    <xf numFmtId="49" fontId="23" fillId="3" borderId="6" xfId="0" applyNumberFormat="1" applyFont="1" applyFill="1" applyBorder="1"/>
    <xf numFmtId="49" fontId="51" fillId="3" borderId="6" xfId="0" applyNumberFormat="1" applyFont="1" applyFill="1" applyBorder="1"/>
    <xf numFmtId="49" fontId="51" fillId="3" borderId="14" xfId="0" applyNumberFormat="1" applyFont="1" applyFill="1" applyBorder="1"/>
    <xf numFmtId="0" fontId="51" fillId="3" borderId="6" xfId="0" applyFont="1" applyFill="1" applyBorder="1" applyAlignment="1">
      <alignment wrapText="1"/>
    </xf>
    <xf numFmtId="49" fontId="23" fillId="3" borderId="2" xfId="0" applyNumberFormat="1" applyFont="1" applyFill="1" applyBorder="1" applyAlignment="1">
      <alignment vertical="center"/>
    </xf>
    <xf numFmtId="49" fontId="23" fillId="3" borderId="13" xfId="0" applyNumberFormat="1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49" fontId="23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51" fillId="3" borderId="14" xfId="0" applyFont="1" applyFill="1" applyBorder="1" applyAlignment="1">
      <alignment vertical="center"/>
    </xf>
    <xf numFmtId="49" fontId="23" fillId="3" borderId="14" xfId="0" applyNumberFormat="1" applyFont="1" applyFill="1" applyBorder="1" applyAlignment="1">
      <alignment vertical="center"/>
    </xf>
    <xf numFmtId="165" fontId="23" fillId="3" borderId="6" xfId="1" applyNumberFormat="1" applyFont="1" applyFill="1" applyBorder="1" applyAlignment="1">
      <alignment vertical="center"/>
    </xf>
    <xf numFmtId="165" fontId="23" fillId="3" borderId="0" xfId="0" applyNumberFormat="1" applyFont="1" applyFill="1" applyAlignment="1">
      <alignment vertical="center"/>
    </xf>
    <xf numFmtId="49" fontId="23" fillId="3" borderId="3" xfId="0" applyNumberFormat="1" applyFont="1" applyFill="1" applyBorder="1"/>
    <xf numFmtId="49" fontId="23" fillId="3" borderId="20" xfId="0" applyNumberFormat="1" applyFont="1" applyFill="1" applyBorder="1"/>
    <xf numFmtId="0" fontId="23" fillId="3" borderId="10" xfId="0" applyFont="1" applyFill="1" applyBorder="1"/>
    <xf numFmtId="49" fontId="23" fillId="3" borderId="4" xfId="0" applyNumberFormat="1" applyFont="1" applyFill="1" applyBorder="1"/>
    <xf numFmtId="0" fontId="23" fillId="3" borderId="28" xfId="0" applyFont="1" applyFill="1" applyBorder="1"/>
    <xf numFmtId="49" fontId="23" fillId="3" borderId="28" xfId="0" applyNumberFormat="1" applyFont="1" applyFill="1" applyBorder="1"/>
    <xf numFmtId="0" fontId="46" fillId="3" borderId="3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  <xf numFmtId="0" fontId="46" fillId="3" borderId="4" xfId="0" applyFont="1" applyFill="1" applyBorder="1" applyAlignment="1">
      <alignment horizontal="center"/>
    </xf>
    <xf numFmtId="0" fontId="22" fillId="3" borderId="8" xfId="0" applyFont="1" applyFill="1" applyBorder="1"/>
    <xf numFmtId="49" fontId="21" fillId="3" borderId="14" xfId="0" applyNumberFormat="1" applyFont="1" applyFill="1" applyBorder="1"/>
    <xf numFmtId="49" fontId="21" fillId="3" borderId="0" xfId="0" applyNumberFormat="1" applyFont="1" applyFill="1"/>
    <xf numFmtId="49" fontId="22" fillId="3" borderId="14" xfId="0" applyNumberFormat="1" applyFont="1" applyFill="1" applyBorder="1"/>
    <xf numFmtId="165" fontId="23" fillId="3" borderId="0" xfId="1" applyNumberFormat="1" applyFont="1" applyFill="1"/>
    <xf numFmtId="49" fontId="22" fillId="3" borderId="0" xfId="0" applyNumberFormat="1" applyFont="1" applyFill="1" applyAlignment="1">
      <alignment horizontal="right"/>
    </xf>
    <xf numFmtId="49" fontId="47" fillId="3" borderId="18" xfId="0" applyNumberFormat="1" applyFont="1" applyFill="1" applyBorder="1" applyAlignment="1">
      <alignment horizontal="center"/>
    </xf>
    <xf numFmtId="0" fontId="49" fillId="3" borderId="12" xfId="0" applyFont="1" applyFill="1" applyBorder="1" applyAlignment="1">
      <alignment horizontal="center"/>
    </xf>
    <xf numFmtId="0" fontId="49" fillId="3" borderId="13" xfId="0" applyFont="1" applyFill="1" applyBorder="1" applyAlignment="1">
      <alignment horizontal="center"/>
    </xf>
    <xf numFmtId="49" fontId="47" fillId="3" borderId="0" xfId="0" applyNumberFormat="1" applyFont="1" applyFill="1" applyAlignment="1">
      <alignment horizontal="center"/>
    </xf>
    <xf numFmtId="165" fontId="21" fillId="3" borderId="27" xfId="1" applyNumberFormat="1" applyFont="1" applyFill="1" applyBorder="1"/>
    <xf numFmtId="43" fontId="21" fillId="3" borderId="0" xfId="1" applyFont="1" applyFill="1"/>
    <xf numFmtId="0" fontId="21" fillId="3" borderId="6" xfId="0" applyFont="1" applyFill="1" applyBorder="1" applyAlignment="1">
      <alignment wrapText="1"/>
    </xf>
    <xf numFmtId="0" fontId="22" fillId="3" borderId="28" xfId="0" applyFont="1" applyFill="1" applyBorder="1"/>
    <xf numFmtId="49" fontId="22" fillId="3" borderId="28" xfId="0" applyNumberFormat="1" applyFont="1" applyFill="1" applyBorder="1"/>
    <xf numFmtId="0" fontId="49" fillId="3" borderId="43" xfId="0" applyFont="1" applyFill="1" applyBorder="1" applyAlignment="1">
      <alignment horizontal="center"/>
    </xf>
    <xf numFmtId="49" fontId="21" fillId="3" borderId="29" xfId="0" applyNumberFormat="1" applyFont="1" applyFill="1" applyBorder="1"/>
    <xf numFmtId="49" fontId="22" fillId="3" borderId="29" xfId="0" applyNumberFormat="1" applyFont="1" applyFill="1" applyBorder="1"/>
    <xf numFmtId="165" fontId="21" fillId="3" borderId="11" xfId="0" applyNumberFormat="1" applyFont="1" applyFill="1" applyBorder="1"/>
    <xf numFmtId="0" fontId="4" fillId="2" borderId="55" xfId="0" applyFont="1" applyFill="1" applyBorder="1"/>
    <xf numFmtId="0" fontId="5" fillId="2" borderId="56" xfId="0" applyFont="1" applyFill="1" applyBorder="1" applyAlignment="1">
      <alignment horizontal="center"/>
    </xf>
    <xf numFmtId="0" fontId="4" fillId="2" borderId="29" xfId="0" applyFont="1" applyFill="1" applyBorder="1"/>
    <xf numFmtId="0" fontId="4" fillId="3" borderId="29" xfId="0" applyFont="1" applyFill="1" applyBorder="1"/>
    <xf numFmtId="0" fontId="4" fillId="0" borderId="29" xfId="0" applyFont="1" applyBorder="1"/>
    <xf numFmtId="0" fontId="4" fillId="2" borderId="44" xfId="0" applyFont="1" applyFill="1" applyBorder="1"/>
    <xf numFmtId="165" fontId="38" fillId="25" borderId="0" xfId="1" applyNumberFormat="1" applyFont="1" applyFill="1"/>
    <xf numFmtId="0" fontId="22" fillId="2" borderId="2" xfId="0" applyFont="1" applyFill="1" applyBorder="1"/>
    <xf numFmtId="0" fontId="21" fillId="2" borderId="0" xfId="0" applyFont="1" applyFill="1"/>
    <xf numFmtId="0" fontId="21" fillId="2" borderId="3" xfId="0" applyFont="1" applyFill="1" applyBorder="1"/>
    <xf numFmtId="0" fontId="21" fillId="2" borderId="4" xfId="0" applyFont="1" applyFill="1" applyBorder="1"/>
    <xf numFmtId="0" fontId="22" fillId="2" borderId="5" xfId="0" applyFont="1" applyFill="1" applyBorder="1"/>
    <xf numFmtId="0" fontId="46" fillId="2" borderId="36" xfId="0" applyFont="1" applyFill="1" applyBorder="1" applyAlignment="1">
      <alignment horizontal="center"/>
    </xf>
    <xf numFmtId="0" fontId="46" fillId="2" borderId="0" xfId="0" applyFont="1" applyFill="1"/>
    <xf numFmtId="49" fontId="49" fillId="2" borderId="18" xfId="0" applyNumberFormat="1" applyFont="1" applyFill="1" applyBorder="1" applyAlignment="1">
      <alignment horizontal="center"/>
    </xf>
    <xf numFmtId="0" fontId="49" fillId="2" borderId="0" xfId="0" applyFont="1" applyFill="1"/>
    <xf numFmtId="0" fontId="47" fillId="2" borderId="19" xfId="0" applyFont="1" applyFill="1" applyBorder="1" applyAlignment="1">
      <alignment horizontal="center"/>
    </xf>
    <xf numFmtId="0" fontId="47" fillId="2" borderId="18" xfId="0" applyFont="1" applyFill="1" applyBorder="1" applyAlignment="1">
      <alignment horizontal="center"/>
    </xf>
    <xf numFmtId="0" fontId="47" fillId="2" borderId="43" xfId="0" applyFont="1" applyFill="1" applyBorder="1" applyAlignment="1">
      <alignment horizontal="center"/>
    </xf>
    <xf numFmtId="0" fontId="47" fillId="2" borderId="13" xfId="0" applyFont="1" applyFill="1" applyBorder="1"/>
    <xf numFmtId="0" fontId="47" fillId="2" borderId="1" xfId="0" applyFont="1" applyFill="1" applyBorder="1"/>
    <xf numFmtId="0" fontId="47" fillId="2" borderId="0" xfId="0" applyFont="1" applyFill="1"/>
    <xf numFmtId="0" fontId="49" fillId="2" borderId="3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49" fillId="2" borderId="4" xfId="0" applyFont="1" applyFill="1" applyBorder="1" applyAlignment="1">
      <alignment horizontal="center"/>
    </xf>
    <xf numFmtId="0" fontId="49" fillId="2" borderId="28" xfId="0" applyFont="1" applyFill="1" applyBorder="1" applyAlignment="1">
      <alignment horizontal="center"/>
    </xf>
    <xf numFmtId="49" fontId="49" fillId="2" borderId="20" xfId="0" applyNumberFormat="1" applyFont="1" applyFill="1" applyBorder="1" applyAlignment="1">
      <alignment horizontal="center"/>
    </xf>
    <xf numFmtId="49" fontId="49" fillId="2" borderId="5" xfId="0" applyNumberFormat="1" applyFont="1" applyFill="1" applyBorder="1" applyAlignment="1">
      <alignment horizontal="center"/>
    </xf>
    <xf numFmtId="49" fontId="21" fillId="2" borderId="26" xfId="0" applyNumberFormat="1" applyFont="1" applyFill="1" applyBorder="1"/>
    <xf numFmtId="49" fontId="21" fillId="2" borderId="21" xfId="0" applyNumberFormat="1" applyFont="1" applyFill="1" applyBorder="1"/>
    <xf numFmtId="49" fontId="21" fillId="2" borderId="7" xfId="0" applyNumberFormat="1" applyFont="1" applyFill="1" applyBorder="1"/>
    <xf numFmtId="0" fontId="21" fillId="2" borderId="21" xfId="0" applyFont="1" applyFill="1" applyBorder="1"/>
    <xf numFmtId="0" fontId="21" fillId="2" borderId="14" xfId="0" applyFont="1" applyFill="1" applyBorder="1"/>
    <xf numFmtId="49" fontId="22" fillId="2" borderId="2" xfId="0" applyNumberFormat="1" applyFont="1" applyFill="1" applyBorder="1"/>
    <xf numFmtId="49" fontId="22" fillId="2" borderId="13" xfId="0" applyNumberFormat="1" applyFont="1" applyFill="1" applyBorder="1"/>
    <xf numFmtId="0" fontId="22" fillId="2" borderId="6" xfId="0" applyFont="1" applyFill="1" applyBorder="1"/>
    <xf numFmtId="49" fontId="22" fillId="2" borderId="0" xfId="0" applyNumberFormat="1" applyFont="1" applyFill="1"/>
    <xf numFmtId="0" fontId="22" fillId="2" borderId="14" xfId="0" applyFont="1" applyFill="1" applyBorder="1"/>
    <xf numFmtId="49" fontId="22" fillId="2" borderId="14" xfId="0" applyNumberFormat="1" applyFont="1" applyFill="1" applyBorder="1"/>
    <xf numFmtId="49" fontId="21" fillId="2" borderId="14" xfId="0" applyNumberFormat="1" applyFont="1" applyFill="1" applyBorder="1"/>
    <xf numFmtId="0" fontId="22" fillId="4" borderId="6" xfId="0" applyFont="1" applyFill="1" applyBorder="1"/>
    <xf numFmtId="0" fontId="22" fillId="4" borderId="0" xfId="0" applyFont="1" applyFill="1"/>
    <xf numFmtId="49" fontId="22" fillId="2" borderId="3" xfId="0" applyNumberFormat="1" applyFont="1" applyFill="1" applyBorder="1"/>
    <xf numFmtId="49" fontId="22" fillId="2" borderId="20" xfId="0" applyNumberFormat="1" applyFont="1" applyFill="1" applyBorder="1"/>
    <xf numFmtId="0" fontId="22" fillId="2" borderId="10" xfId="0" applyFont="1" applyFill="1" applyBorder="1"/>
    <xf numFmtId="49" fontId="22" fillId="2" borderId="4" xfId="0" applyNumberFormat="1" applyFont="1" applyFill="1" applyBorder="1"/>
    <xf numFmtId="0" fontId="22" fillId="2" borderId="20" xfId="0" applyFont="1" applyFill="1" applyBorder="1"/>
    <xf numFmtId="49" fontId="22" fillId="2" borderId="22" xfId="0" applyNumberFormat="1" applyFont="1" applyFill="1" applyBorder="1"/>
    <xf numFmtId="49" fontId="22" fillId="2" borderId="23" xfId="0" applyNumberFormat="1" applyFont="1" applyFill="1" applyBorder="1"/>
    <xf numFmtId="0" fontId="22" fillId="2" borderId="24" xfId="0" applyFont="1" applyFill="1" applyBorder="1"/>
    <xf numFmtId="49" fontId="22" fillId="2" borderId="25" xfId="0" applyNumberFormat="1" applyFont="1" applyFill="1" applyBorder="1"/>
    <xf numFmtId="0" fontId="21" fillId="2" borderId="25" xfId="0" applyFont="1" applyFill="1" applyBorder="1" applyAlignment="1">
      <alignment horizontal="center"/>
    </xf>
    <xf numFmtId="0" fontId="22" fillId="2" borderId="23" xfId="0" applyFont="1" applyFill="1" applyBorder="1"/>
    <xf numFmtId="0" fontId="54" fillId="2" borderId="0" xfId="0" applyFont="1" applyFill="1"/>
    <xf numFmtId="165" fontId="21" fillId="2" borderId="30" xfId="1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165" fontId="14" fillId="3" borderId="25" xfId="1" applyNumberFormat="1" applyFont="1" applyFill="1" applyBorder="1"/>
    <xf numFmtId="165" fontId="4" fillId="2" borderId="59" xfId="0" applyNumberFormat="1" applyFont="1" applyFill="1" applyBorder="1"/>
    <xf numFmtId="0" fontId="4" fillId="2" borderId="28" xfId="0" applyFont="1" applyFill="1" applyBorder="1"/>
    <xf numFmtId="0" fontId="4" fillId="2" borderId="20" xfId="0" applyFont="1" applyFill="1" applyBorder="1"/>
    <xf numFmtId="165" fontId="4" fillId="2" borderId="4" xfId="1" applyNumberFormat="1" applyFont="1" applyFill="1" applyBorder="1"/>
    <xf numFmtId="49" fontId="22" fillId="3" borderId="60" xfId="0" applyNumberFormat="1" applyFont="1" applyFill="1" applyBorder="1"/>
    <xf numFmtId="49" fontId="22" fillId="3" borderId="62" xfId="0" applyNumberFormat="1" applyFont="1" applyFill="1" applyBorder="1"/>
    <xf numFmtId="0" fontId="22" fillId="3" borderId="63" xfId="0" applyFont="1" applyFill="1" applyBorder="1"/>
    <xf numFmtId="49" fontId="22" fillId="3" borderId="61" xfId="0" applyNumberFormat="1" applyFont="1" applyFill="1" applyBorder="1"/>
    <xf numFmtId="165" fontId="22" fillId="3" borderId="63" xfId="1" applyNumberFormat="1" applyFont="1" applyFill="1" applyBorder="1"/>
    <xf numFmtId="165" fontId="22" fillId="3" borderId="65" xfId="1" applyNumberFormat="1" applyFont="1" applyFill="1" applyBorder="1"/>
    <xf numFmtId="165" fontId="23" fillId="3" borderId="10" xfId="1" applyNumberFormat="1" applyFont="1" applyFill="1" applyBorder="1"/>
    <xf numFmtId="165" fontId="22" fillId="3" borderId="6" xfId="0" applyNumberFormat="1" applyFont="1" applyFill="1" applyBorder="1"/>
    <xf numFmtId="165" fontId="16" fillId="3" borderId="9" xfId="1" applyNumberFormat="1" applyFont="1" applyFill="1" applyBorder="1"/>
    <xf numFmtId="165" fontId="16" fillId="3" borderId="1" xfId="1" applyNumberFormat="1" applyFont="1" applyFill="1" applyBorder="1"/>
    <xf numFmtId="165" fontId="15" fillId="3" borderId="1" xfId="1" applyNumberFormat="1" applyFont="1" applyFill="1" applyBorder="1"/>
    <xf numFmtId="165" fontId="22" fillId="4" borderId="11" xfId="1" applyNumberFormat="1" applyFont="1" applyFill="1" applyBorder="1"/>
    <xf numFmtId="0" fontId="46" fillId="2" borderId="41" xfId="0" applyFont="1" applyFill="1" applyBorder="1" applyAlignment="1">
      <alignment horizontal="center"/>
    </xf>
    <xf numFmtId="0" fontId="46" fillId="2" borderId="67" xfId="0" applyFont="1" applyFill="1" applyBorder="1" applyAlignment="1">
      <alignment horizontal="center"/>
    </xf>
    <xf numFmtId="0" fontId="46" fillId="3" borderId="35" xfId="0" applyFont="1" applyFill="1" applyBorder="1" applyAlignment="1">
      <alignment horizontal="center"/>
    </xf>
    <xf numFmtId="0" fontId="46" fillId="3" borderId="57" xfId="0" applyFont="1" applyFill="1" applyBorder="1" applyAlignment="1">
      <alignment horizontal="center"/>
    </xf>
    <xf numFmtId="0" fontId="46" fillId="3" borderId="40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/>
    </xf>
    <xf numFmtId="0" fontId="46" fillId="3" borderId="49" xfId="0" applyFont="1" applyFill="1" applyBorder="1" applyAlignment="1">
      <alignment horizontal="center"/>
    </xf>
    <xf numFmtId="0" fontId="46" fillId="3" borderId="67" xfId="0" applyFont="1" applyFill="1" applyBorder="1" applyAlignment="1">
      <alignment horizontal="center"/>
    </xf>
    <xf numFmtId="49" fontId="47" fillId="3" borderId="31" xfId="0" applyNumberFormat="1" applyFont="1" applyFill="1" applyBorder="1" applyAlignment="1">
      <alignment horizontal="center"/>
    </xf>
    <xf numFmtId="49" fontId="44" fillId="3" borderId="31" xfId="0" applyNumberFormat="1" applyFont="1" applyFill="1" applyBorder="1" applyAlignment="1">
      <alignment horizontal="center"/>
    </xf>
    <xf numFmtId="0" fontId="49" fillId="3" borderId="35" xfId="0" applyFont="1" applyFill="1" applyBorder="1" applyAlignment="1">
      <alignment horizontal="center"/>
    </xf>
    <xf numFmtId="0" fontId="49" fillId="3" borderId="57" xfId="0" applyFont="1" applyFill="1" applyBorder="1" applyAlignment="1">
      <alignment horizontal="center"/>
    </xf>
    <xf numFmtId="0" fontId="49" fillId="3" borderId="40" xfId="0" applyFont="1" applyFill="1" applyBorder="1" applyAlignment="1">
      <alignment horizontal="center"/>
    </xf>
    <xf numFmtId="0" fontId="5" fillId="2" borderId="5" xfId="0" applyFont="1" applyFill="1" applyBorder="1"/>
    <xf numFmtId="0" fontId="51" fillId="2" borderId="2" xfId="0" applyFont="1" applyFill="1" applyBorder="1"/>
    <xf numFmtId="0" fontId="51" fillId="2" borderId="0" xfId="0" applyFont="1" applyFill="1"/>
    <xf numFmtId="0" fontId="3" fillId="6" borderId="0" xfId="0" applyFont="1" applyFill="1"/>
    <xf numFmtId="165" fontId="56" fillId="3" borderId="0" xfId="1" applyNumberFormat="1" applyFont="1" applyFill="1"/>
    <xf numFmtId="165" fontId="4" fillId="3" borderId="0" xfId="0" applyNumberFormat="1" applyFont="1" applyFill="1"/>
    <xf numFmtId="43" fontId="22" fillId="3" borderId="14" xfId="1" applyFont="1" applyFill="1" applyBorder="1"/>
    <xf numFmtId="0" fontId="22" fillId="3" borderId="55" xfId="0" applyFont="1" applyFill="1" applyBorder="1"/>
    <xf numFmtId="49" fontId="47" fillId="3" borderId="20" xfId="0" applyNumberFormat="1" applyFont="1" applyFill="1" applyBorder="1" applyAlignment="1">
      <alignment horizontal="center"/>
    </xf>
    <xf numFmtId="166" fontId="14" fillId="19" borderId="54" xfId="11" applyNumberFormat="1" applyFont="1" applyFill="1" applyBorder="1">
      <alignment vertical="top"/>
    </xf>
    <xf numFmtId="165" fontId="21" fillId="3" borderId="24" xfId="1" applyNumberFormat="1" applyFont="1" applyFill="1" applyBorder="1"/>
    <xf numFmtId="43" fontId="0" fillId="27" borderId="0" xfId="1" applyFont="1" applyFill="1"/>
    <xf numFmtId="165" fontId="0" fillId="26" borderId="0" xfId="2" applyNumberFormat="1" applyFont="1" applyFill="1"/>
    <xf numFmtId="166" fontId="58" fillId="28" borderId="54" xfId="1" applyNumberFormat="1" applyFont="1" applyFill="1" applyBorder="1" applyAlignment="1">
      <alignment vertical="top"/>
    </xf>
    <xf numFmtId="166" fontId="58" fillId="28" borderId="69" xfId="1" applyNumberFormat="1" applyFont="1" applyFill="1" applyBorder="1" applyAlignment="1">
      <alignment vertical="top"/>
    </xf>
    <xf numFmtId="4" fontId="0" fillId="0" borderId="0" xfId="0" applyNumberFormat="1"/>
    <xf numFmtId="166" fontId="0" fillId="0" borderId="0" xfId="0" applyNumberFormat="1"/>
    <xf numFmtId="166" fontId="59" fillId="19" borderId="0" xfId="11" applyNumberFormat="1" applyFont="1" applyFill="1">
      <alignment vertical="top"/>
    </xf>
    <xf numFmtId="166" fontId="59" fillId="0" borderId="0" xfId="11" applyNumberFormat="1" applyFont="1">
      <alignment vertical="top"/>
    </xf>
    <xf numFmtId="0" fontId="59" fillId="19" borderId="0" xfId="11" applyFont="1" applyFill="1" applyAlignment="1">
      <alignment vertical="top" readingOrder="1"/>
    </xf>
    <xf numFmtId="169" fontId="56" fillId="3" borderId="0" xfId="1" applyNumberFormat="1" applyFont="1" applyFill="1"/>
    <xf numFmtId="0" fontId="62" fillId="0" borderId="0" xfId="0" applyFont="1"/>
    <xf numFmtId="43" fontId="62" fillId="0" borderId="0" xfId="1" applyFont="1" applyFill="1" applyBorder="1"/>
    <xf numFmtId="0" fontId="62" fillId="0" borderId="46" xfId="0" applyFont="1" applyBorder="1"/>
    <xf numFmtId="43" fontId="62" fillId="0" borderId="68" xfId="1" applyFont="1" applyFill="1" applyBorder="1"/>
    <xf numFmtId="0" fontId="63" fillId="0" borderId="26" xfId="0" applyFont="1" applyBorder="1"/>
    <xf numFmtId="43" fontId="63" fillId="0" borderId="9" xfId="1" applyFont="1" applyFill="1" applyBorder="1"/>
    <xf numFmtId="43" fontId="60" fillId="0" borderId="0" xfId="0" applyNumberFormat="1" applyFont="1" applyAlignment="1">
      <alignment horizontal="center"/>
    </xf>
    <xf numFmtId="0" fontId="63" fillId="0" borderId="3" xfId="0" applyFont="1" applyBorder="1"/>
    <xf numFmtId="43" fontId="63" fillId="0" borderId="5" xfId="1" applyFont="1" applyFill="1" applyBorder="1"/>
    <xf numFmtId="0" fontId="62" fillId="0" borderId="26" xfId="0" applyFont="1" applyBorder="1"/>
    <xf numFmtId="43" fontId="62" fillId="0" borderId="9" xfId="1" applyFont="1" applyFill="1" applyBorder="1"/>
    <xf numFmtId="0" fontId="62" fillId="0" borderId="3" xfId="0" applyFont="1" applyBorder="1"/>
    <xf numFmtId="43" fontId="62" fillId="0" borderId="5" xfId="1" applyFont="1" applyFill="1" applyBorder="1"/>
    <xf numFmtId="0" fontId="62" fillId="26" borderId="26" xfId="0" applyFont="1" applyFill="1" applyBorder="1"/>
    <xf numFmtId="43" fontId="62" fillId="26" borderId="9" xfId="1" applyFont="1" applyFill="1" applyBorder="1"/>
    <xf numFmtId="0" fontId="62" fillId="26" borderId="2" xfId="0" applyFont="1" applyFill="1" applyBorder="1"/>
    <xf numFmtId="43" fontId="62" fillId="26" borderId="1" xfId="1" applyFont="1" applyFill="1" applyBorder="1"/>
    <xf numFmtId="43" fontId="60" fillId="0" borderId="0" xfId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62" fillId="26" borderId="3" xfId="0" applyFont="1" applyFill="1" applyBorder="1"/>
    <xf numFmtId="43" fontId="62" fillId="26" borderId="5" xfId="1" applyFont="1" applyFill="1" applyBorder="1"/>
    <xf numFmtId="43" fontId="62" fillId="0" borderId="0" xfId="1" applyFont="1" applyFill="1" applyBorder="1" applyAlignment="1"/>
    <xf numFmtId="166" fontId="60" fillId="0" borderId="0" xfId="1" applyNumberFormat="1" applyFont="1" applyFill="1" applyBorder="1" applyAlignment="1">
      <alignment horizontal="center" vertical="top"/>
    </xf>
    <xf numFmtId="43" fontId="62" fillId="0" borderId="0" xfId="1" applyFont="1" applyFill="1" applyBorder="1" applyAlignment="1">
      <alignment horizontal="center"/>
    </xf>
    <xf numFmtId="0" fontId="64" fillId="0" borderId="0" xfId="5" applyFont="1"/>
    <xf numFmtId="0" fontId="63" fillId="0" borderId="0" xfId="5" applyFont="1"/>
    <xf numFmtId="168" fontId="62" fillId="0" borderId="0" xfId="1" applyNumberFormat="1" applyFont="1" applyFill="1" applyBorder="1"/>
    <xf numFmtId="0" fontId="66" fillId="0" borderId="0" xfId="5" applyFont="1"/>
    <xf numFmtId="0" fontId="67" fillId="0" borderId="0" xfId="5" applyFont="1"/>
    <xf numFmtId="0" fontId="67" fillId="30" borderId="0" xfId="5" applyFont="1" applyFill="1"/>
    <xf numFmtId="168" fontId="67" fillId="0" borderId="0" xfId="0" applyNumberFormat="1" applyFont="1" applyAlignment="1">
      <alignment vertical="top"/>
    </xf>
    <xf numFmtId="43" fontId="59" fillId="0" borderId="0" xfId="1" applyFont="1" applyFill="1" applyBorder="1" applyAlignment="1">
      <alignment vertical="top" readingOrder="1"/>
    </xf>
    <xf numFmtId="168" fontId="67" fillId="0" borderId="0" xfId="1" applyNumberFormat="1" applyFont="1" applyFill="1" applyBorder="1"/>
    <xf numFmtId="170" fontId="59" fillId="33" borderId="0" xfId="1" applyNumberFormat="1" applyFont="1" applyFill="1" applyAlignment="1">
      <alignment vertical="top"/>
    </xf>
    <xf numFmtId="0" fontId="68" fillId="0" borderId="0" xfId="5" applyFont="1"/>
    <xf numFmtId="43" fontId="59" fillId="0" borderId="0" xfId="1" applyFont="1" applyFill="1" applyBorder="1" applyAlignment="1">
      <alignment vertical="top" wrapText="1" readingOrder="1"/>
    </xf>
    <xf numFmtId="166" fontId="59" fillId="0" borderId="0" xfId="1" applyNumberFormat="1" applyFont="1" applyFill="1" applyBorder="1" applyAlignment="1">
      <alignment vertical="top"/>
    </xf>
    <xf numFmtId="0" fontId="63" fillId="22" borderId="0" xfId="5" applyFont="1" applyFill="1"/>
    <xf numFmtId="0" fontId="62" fillId="11" borderId="0" xfId="0" applyFont="1" applyFill="1"/>
    <xf numFmtId="0" fontId="60" fillId="0" borderId="0" xfId="5" applyFont="1"/>
    <xf numFmtId="0" fontId="63" fillId="26" borderId="0" xfId="5" applyFont="1" applyFill="1"/>
    <xf numFmtId="170" fontId="59" fillId="0" borderId="0" xfId="1" applyNumberFormat="1" applyFont="1" applyFill="1" applyAlignment="1">
      <alignment vertical="top"/>
    </xf>
    <xf numFmtId="0" fontId="59" fillId="0" borderId="0" xfId="11" applyFont="1" applyAlignment="1">
      <alignment vertical="top" wrapText="1" readingOrder="1"/>
    </xf>
    <xf numFmtId="168" fontId="59" fillId="0" borderId="0" xfId="11" applyNumberFormat="1" applyFont="1">
      <alignment vertical="top"/>
    </xf>
    <xf numFmtId="168" fontId="62" fillId="0" borderId="0" xfId="1" applyNumberFormat="1" applyFont="1" applyFill="1" applyBorder="1" applyAlignment="1">
      <alignment vertical="top"/>
    </xf>
    <xf numFmtId="0" fontId="67" fillId="26" borderId="0" xfId="11" applyFont="1" applyFill="1" applyAlignment="1">
      <alignment vertical="top" wrapText="1" readingOrder="1"/>
    </xf>
    <xf numFmtId="0" fontId="67" fillId="0" borderId="0" xfId="0" applyFont="1"/>
    <xf numFmtId="0" fontId="67" fillId="0" borderId="0" xfId="11" applyFont="1" applyAlignment="1">
      <alignment vertical="top" wrapText="1" readingOrder="1"/>
    </xf>
    <xf numFmtId="168" fontId="67" fillId="0" borderId="0" xfId="11" applyNumberFormat="1" applyFont="1">
      <alignment vertical="top"/>
    </xf>
    <xf numFmtId="0" fontId="67" fillId="0" borderId="0" xfId="11" applyFont="1" applyAlignment="1">
      <alignment vertical="top" readingOrder="1"/>
    </xf>
    <xf numFmtId="43" fontId="69" fillId="0" borderId="0" xfId="1" applyFont="1" applyFill="1" applyBorder="1"/>
    <xf numFmtId="0" fontId="62" fillId="16" borderId="0" xfId="0" applyFont="1" applyFill="1"/>
    <xf numFmtId="43" fontId="70" fillId="0" borderId="0" xfId="1" applyFont="1" applyFill="1" applyBorder="1"/>
    <xf numFmtId="43" fontId="59" fillId="0" borderId="0" xfId="1" applyFont="1" applyFill="1" applyBorder="1"/>
    <xf numFmtId="0" fontId="71" fillId="16" borderId="0" xfId="0" applyFont="1" applyFill="1"/>
    <xf numFmtId="0" fontId="66" fillId="36" borderId="0" xfId="5" applyFont="1" applyFill="1"/>
    <xf numFmtId="166" fontId="73" fillId="19" borderId="54" xfId="11" applyNumberFormat="1" applyFont="1" applyFill="1" applyBorder="1">
      <alignment vertical="top"/>
    </xf>
    <xf numFmtId="0" fontId="3" fillId="26" borderId="0" xfId="0" applyFont="1" applyFill="1"/>
    <xf numFmtId="165" fontId="0" fillId="26" borderId="0" xfId="1" applyNumberFormat="1" applyFont="1" applyFill="1"/>
    <xf numFmtId="170" fontId="61" fillId="40" borderId="0" xfId="11" applyNumberFormat="1" applyFont="1" applyFill="1">
      <alignment vertical="top"/>
    </xf>
    <xf numFmtId="170" fontId="61" fillId="41" borderId="0" xfId="11" applyNumberFormat="1" applyFont="1" applyFill="1">
      <alignment vertical="top"/>
    </xf>
    <xf numFmtId="170" fontId="72" fillId="39" borderId="0" xfId="11" applyNumberFormat="1" applyFont="1" applyFill="1">
      <alignment vertical="top"/>
    </xf>
    <xf numFmtId="170" fontId="61" fillId="19" borderId="0" xfId="11" applyNumberFormat="1" applyFont="1" applyFill="1">
      <alignment vertical="top"/>
    </xf>
    <xf numFmtId="170" fontId="61" fillId="42" borderId="0" xfId="11" applyNumberFormat="1" applyFont="1" applyFill="1">
      <alignment vertical="top"/>
    </xf>
    <xf numFmtId="170" fontId="61" fillId="38" borderId="0" xfId="11" applyNumberFormat="1" applyFont="1" applyFill="1">
      <alignment vertical="top"/>
    </xf>
    <xf numFmtId="0" fontId="62" fillId="0" borderId="0" xfId="0" applyFont="1" applyAlignment="1">
      <alignment wrapText="1"/>
    </xf>
    <xf numFmtId="0" fontId="5" fillId="2" borderId="3" xfId="0" applyFont="1" applyFill="1" applyBorder="1"/>
    <xf numFmtId="0" fontId="51" fillId="3" borderId="5" xfId="0" applyFont="1" applyFill="1" applyBorder="1"/>
    <xf numFmtId="0" fontId="51" fillId="2" borderId="70" xfId="0" applyFont="1" applyFill="1" applyBorder="1"/>
    <xf numFmtId="165" fontId="22" fillId="2" borderId="65" xfId="1" applyNumberFormat="1" applyFont="1" applyFill="1" applyBorder="1"/>
    <xf numFmtId="0" fontId="47" fillId="3" borderId="7" xfId="0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center"/>
    </xf>
    <xf numFmtId="0" fontId="47" fillId="3" borderId="6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44" fillId="3" borderId="36" xfId="0" applyFont="1" applyFill="1" applyBorder="1" applyAlignment="1">
      <alignment horizontal="center"/>
    </xf>
    <xf numFmtId="0" fontId="47" fillId="3" borderId="36" xfId="0" applyFont="1" applyFill="1" applyBorder="1" applyAlignment="1">
      <alignment horizontal="center"/>
    </xf>
    <xf numFmtId="0" fontId="21" fillId="3" borderId="61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7" fillId="3" borderId="12" xfId="0" applyFont="1" applyFill="1" applyBorder="1" applyAlignment="1">
      <alignment horizontal="center"/>
    </xf>
    <xf numFmtId="0" fontId="47" fillId="3" borderId="18" xfId="0" applyFont="1" applyFill="1" applyBorder="1" applyAlignment="1">
      <alignment horizontal="center"/>
    </xf>
    <xf numFmtId="49" fontId="47" fillId="3" borderId="48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right"/>
    </xf>
    <xf numFmtId="165" fontId="6" fillId="3" borderId="0" xfId="1" applyNumberFormat="1" applyFont="1" applyFill="1" applyBorder="1"/>
    <xf numFmtId="0" fontId="24" fillId="3" borderId="29" xfId="0" applyFont="1" applyFill="1" applyBorder="1"/>
    <xf numFmtId="0" fontId="24" fillId="3" borderId="14" xfId="0" applyFont="1" applyFill="1" applyBorder="1"/>
    <xf numFmtId="0" fontId="24" fillId="3" borderId="0" xfId="0" applyFont="1" applyFill="1"/>
    <xf numFmtId="0" fontId="24" fillId="3" borderId="6" xfId="0" applyFont="1" applyFill="1" applyBorder="1"/>
    <xf numFmtId="0" fontId="4" fillId="3" borderId="0" xfId="0" applyFont="1" applyFill="1" applyAlignment="1">
      <alignment horizontal="left"/>
    </xf>
    <xf numFmtId="49" fontId="21" fillId="3" borderId="13" xfId="0" applyNumberFormat="1" applyFont="1" applyFill="1" applyBorder="1" applyAlignment="1">
      <alignment horizontal="right"/>
    </xf>
    <xf numFmtId="49" fontId="21" fillId="3" borderId="6" xfId="0" applyNumberFormat="1" applyFont="1" applyFill="1" applyBorder="1" applyAlignment="1">
      <alignment horizontal="right"/>
    </xf>
    <xf numFmtId="0" fontId="22" fillId="3" borderId="14" xfId="0" applyFont="1" applyFill="1" applyBorder="1" applyAlignment="1">
      <alignment horizontal="left"/>
    </xf>
    <xf numFmtId="0" fontId="15" fillId="3" borderId="2" xfId="0" applyFont="1" applyFill="1" applyBorder="1"/>
    <xf numFmtId="0" fontId="5" fillId="3" borderId="2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5" fillId="3" borderId="3" xfId="0" applyFont="1" applyFill="1" applyBorder="1"/>
    <xf numFmtId="0" fontId="17" fillId="3" borderId="36" xfId="0" applyFont="1" applyFill="1" applyBorder="1" applyAlignment="1">
      <alignment horizontal="center"/>
    </xf>
    <xf numFmtId="0" fontId="17" fillId="3" borderId="0" xfId="0" applyFont="1" applyFill="1"/>
    <xf numFmtId="0" fontId="57" fillId="3" borderId="41" xfId="0" applyFont="1" applyFill="1" applyBorder="1" applyAlignment="1">
      <alignment horizontal="center"/>
    </xf>
    <xf numFmtId="0" fontId="57" fillId="3" borderId="67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9" fontId="17" fillId="3" borderId="20" xfId="0" applyNumberFormat="1" applyFont="1" applyFill="1" applyBorder="1" applyAlignment="1">
      <alignment horizontal="center"/>
    </xf>
    <xf numFmtId="49" fontId="17" fillId="3" borderId="5" xfId="0" applyNumberFormat="1" applyFont="1" applyFill="1" applyBorder="1" applyAlignment="1">
      <alignment horizontal="center"/>
    </xf>
    <xf numFmtId="49" fontId="16" fillId="3" borderId="26" xfId="0" applyNumberFormat="1" applyFont="1" applyFill="1" applyBorder="1"/>
    <xf numFmtId="49" fontId="16" fillId="3" borderId="21" xfId="0" applyNumberFormat="1" applyFont="1" applyFill="1" applyBorder="1"/>
    <xf numFmtId="49" fontId="16" fillId="3" borderId="7" xfId="0" applyNumberFormat="1" applyFont="1" applyFill="1" applyBorder="1"/>
    <xf numFmtId="0" fontId="16" fillId="3" borderId="27" xfId="0" applyFont="1" applyFill="1" applyBorder="1"/>
    <xf numFmtId="49" fontId="16" fillId="3" borderId="27" xfId="0" applyNumberFormat="1" applyFont="1" applyFill="1" applyBorder="1"/>
    <xf numFmtId="49" fontId="15" fillId="3" borderId="2" xfId="0" applyNumberFormat="1" applyFont="1" applyFill="1" applyBorder="1"/>
    <xf numFmtId="49" fontId="15" fillId="3" borderId="13" xfId="0" applyNumberFormat="1" applyFont="1" applyFill="1" applyBorder="1"/>
    <xf numFmtId="49" fontId="15" fillId="3" borderId="0" xfId="0" applyNumberFormat="1" applyFont="1" applyFill="1"/>
    <xf numFmtId="0" fontId="16" fillId="3" borderId="6" xfId="0" applyFont="1" applyFill="1" applyBorder="1" applyAlignment="1">
      <alignment wrapText="1"/>
    </xf>
    <xf numFmtId="49" fontId="4" fillId="3" borderId="14" xfId="0" applyNumberFormat="1" applyFont="1" applyFill="1" applyBorder="1"/>
    <xf numFmtId="49" fontId="15" fillId="3" borderId="3" xfId="0" applyNumberFormat="1" applyFont="1" applyFill="1" applyBorder="1"/>
    <xf numFmtId="49" fontId="15" fillId="3" borderId="20" xfId="0" applyNumberFormat="1" applyFont="1" applyFill="1" applyBorder="1"/>
    <xf numFmtId="0" fontId="15" fillId="3" borderId="10" xfId="0" applyFont="1" applyFill="1" applyBorder="1"/>
    <xf numFmtId="49" fontId="15" fillId="3" borderId="4" xfId="0" applyNumberFormat="1" applyFont="1" applyFill="1" applyBorder="1"/>
    <xf numFmtId="0" fontId="15" fillId="3" borderId="4" xfId="0" applyFont="1" applyFill="1" applyBorder="1"/>
    <xf numFmtId="0" fontId="15" fillId="3" borderId="28" xfId="0" applyFont="1" applyFill="1" applyBorder="1"/>
    <xf numFmtId="49" fontId="15" fillId="3" borderId="10" xfId="0" applyNumberFormat="1" applyFont="1" applyFill="1" applyBorder="1"/>
    <xf numFmtId="165" fontId="18" fillId="3" borderId="5" xfId="1" applyNumberFormat="1" applyFont="1" applyFill="1" applyBorder="1"/>
    <xf numFmtId="49" fontId="15" fillId="3" borderId="22" xfId="0" applyNumberFormat="1" applyFont="1" applyFill="1" applyBorder="1"/>
    <xf numFmtId="49" fontId="15" fillId="3" borderId="23" xfId="0" applyNumberFormat="1" applyFont="1" applyFill="1" applyBorder="1"/>
    <xf numFmtId="0" fontId="15" fillId="3" borderId="24" xfId="0" applyFont="1" applyFill="1" applyBorder="1"/>
    <xf numFmtId="49" fontId="15" fillId="3" borderId="25" xfId="0" applyNumberFormat="1" applyFont="1" applyFill="1" applyBorder="1"/>
    <xf numFmtId="0" fontId="16" fillId="3" borderId="24" xfId="0" applyFont="1" applyFill="1" applyBorder="1" applyAlignment="1">
      <alignment horizontal="center"/>
    </xf>
    <xf numFmtId="0" fontId="15" fillId="3" borderId="25" xfId="0" applyFont="1" applyFill="1" applyBorder="1"/>
    <xf numFmtId="165" fontId="15" fillId="3" borderId="65" xfId="1" applyNumberFormat="1" applyFont="1" applyFill="1" applyBorder="1"/>
    <xf numFmtId="0" fontId="16" fillId="3" borderId="0" xfId="0" applyFont="1" applyFill="1" applyAlignment="1">
      <alignment horizontal="center"/>
    </xf>
    <xf numFmtId="165" fontId="15" fillId="3" borderId="0" xfId="1" applyNumberFormat="1" applyFont="1" applyFill="1" applyBorder="1"/>
    <xf numFmtId="165" fontId="21" fillId="3" borderId="14" xfId="1" applyNumberFormat="1" applyFont="1" applyFill="1" applyBorder="1" applyAlignment="1">
      <alignment horizontal="center"/>
    </xf>
    <xf numFmtId="0" fontId="47" fillId="3" borderId="26" xfId="0" applyFont="1" applyFill="1" applyBorder="1"/>
    <xf numFmtId="0" fontId="47" fillId="3" borderId="7" xfId="0" applyFont="1" applyFill="1" applyBorder="1"/>
    <xf numFmtId="0" fontId="47" fillId="3" borderId="9" xfId="0" applyFont="1" applyFill="1" applyBorder="1"/>
    <xf numFmtId="43" fontId="21" fillId="3" borderId="6" xfId="1" applyFont="1" applyFill="1" applyBorder="1"/>
    <xf numFmtId="0" fontId="55" fillId="3" borderId="0" xfId="0" applyFont="1" applyFill="1" applyAlignment="1">
      <alignment horizontal="center"/>
    </xf>
    <xf numFmtId="4" fontId="62" fillId="0" borderId="0" xfId="0" applyNumberFormat="1" applyFont="1" applyAlignment="1">
      <alignment horizontal="center"/>
    </xf>
    <xf numFmtId="43" fontId="60" fillId="0" borderId="0" xfId="1" applyFont="1" applyAlignment="1">
      <alignment horizontal="center"/>
    </xf>
    <xf numFmtId="0" fontId="62" fillId="0" borderId="0" xfId="0" applyFont="1" applyAlignment="1">
      <alignment horizontal="center"/>
    </xf>
    <xf numFmtId="4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center"/>
    </xf>
    <xf numFmtId="170" fontId="61" fillId="0" borderId="0" xfId="11" applyNumberFormat="1" applyFont="1">
      <alignment vertical="top"/>
    </xf>
    <xf numFmtId="43" fontId="61" fillId="0" borderId="0" xfId="1" applyFont="1" applyFill="1" applyAlignment="1">
      <alignment horizontal="center" vertical="top"/>
    </xf>
    <xf numFmtId="2" fontId="62" fillId="0" borderId="0" xfId="0" applyNumberFormat="1" applyFont="1" applyAlignment="1">
      <alignment horizontal="left"/>
    </xf>
    <xf numFmtId="2" fontId="62" fillId="36" borderId="0" xfId="0" applyNumberFormat="1" applyFont="1" applyFill="1" applyAlignment="1">
      <alignment horizontal="left"/>
    </xf>
    <xf numFmtId="2" fontId="59" fillId="29" borderId="0" xfId="1" applyNumberFormat="1" applyFont="1" applyFill="1" applyAlignment="1">
      <alignment horizontal="left" vertical="top"/>
    </xf>
    <xf numFmtId="2" fontId="59" fillId="31" borderId="0" xfId="1" applyNumberFormat="1" applyFont="1" applyFill="1" applyAlignment="1">
      <alignment horizontal="left" vertical="top"/>
    </xf>
    <xf numFmtId="2" fontId="59" fillId="35" borderId="0" xfId="1" applyNumberFormat="1" applyFont="1" applyFill="1" applyAlignment="1">
      <alignment horizontal="left" vertical="top"/>
    </xf>
    <xf numFmtId="2" fontId="61" fillId="33" borderId="0" xfId="1" applyNumberFormat="1" applyFont="1" applyFill="1" applyAlignment="1">
      <alignment horizontal="left" vertical="top" wrapText="1"/>
    </xf>
    <xf numFmtId="2" fontId="59" fillId="0" borderId="0" xfId="1" applyNumberFormat="1" applyFont="1" applyFill="1" applyAlignment="1">
      <alignment horizontal="left" vertical="top"/>
    </xf>
    <xf numFmtId="2" fontId="63" fillId="0" borderId="0" xfId="1" applyNumberFormat="1" applyFont="1" applyFill="1" applyAlignment="1">
      <alignment horizontal="left" vertical="top"/>
    </xf>
    <xf numFmtId="2" fontId="59" fillId="37" borderId="0" xfId="1" applyNumberFormat="1" applyFont="1" applyFill="1" applyAlignment="1">
      <alignment horizontal="left" vertical="top"/>
    </xf>
    <xf numFmtId="2" fontId="59" fillId="38" borderId="0" xfId="1" applyNumberFormat="1" applyFont="1" applyFill="1" applyAlignment="1">
      <alignment horizontal="left" vertical="top"/>
    </xf>
    <xf numFmtId="2" fontId="59" fillId="0" borderId="0" xfId="1" applyNumberFormat="1" applyFont="1" applyFill="1" applyBorder="1" applyAlignment="1">
      <alignment horizontal="left" vertical="top" wrapText="1"/>
    </xf>
    <xf numFmtId="2" fontId="59" fillId="34" borderId="0" xfId="1" applyNumberFormat="1" applyFont="1" applyFill="1" applyAlignment="1">
      <alignment horizontal="left" vertical="top"/>
    </xf>
    <xf numFmtId="2" fontId="62" fillId="0" borderId="0" xfId="1" applyNumberFormat="1" applyFont="1" applyFill="1" applyBorder="1" applyAlignment="1">
      <alignment horizontal="left"/>
    </xf>
    <xf numFmtId="2" fontId="59" fillId="31" borderId="0" xfId="1" applyNumberFormat="1" applyFont="1" applyFill="1" applyAlignment="1">
      <alignment horizontal="left" vertical="center"/>
    </xf>
    <xf numFmtId="2" fontId="61" fillId="32" borderId="0" xfId="1" applyNumberFormat="1" applyFont="1" applyFill="1" applyAlignment="1">
      <alignment horizontal="left" vertical="top" wrapText="1"/>
    </xf>
    <xf numFmtId="2" fontId="62" fillId="0" borderId="0" xfId="1" applyNumberFormat="1" applyFont="1" applyFill="1" applyBorder="1" applyAlignment="1">
      <alignment horizontal="left" vertical="center"/>
    </xf>
    <xf numFmtId="43" fontId="67" fillId="0" borderId="0" xfId="1" applyFont="1" applyFill="1" applyBorder="1" applyAlignment="1">
      <alignment vertical="top"/>
    </xf>
    <xf numFmtId="43" fontId="67" fillId="0" borderId="0" xfId="1" applyFont="1" applyFill="1" applyBorder="1"/>
    <xf numFmtId="43" fontId="59" fillId="0" borderId="0" xfId="1" applyFont="1" applyFill="1" applyBorder="1" applyAlignment="1">
      <alignment vertical="top"/>
    </xf>
    <xf numFmtId="43" fontId="59" fillId="0" borderId="0" xfId="1" applyFont="1" applyFill="1" applyAlignment="1">
      <alignment vertical="top"/>
    </xf>
    <xf numFmtId="43" fontId="62" fillId="0" borderId="0" xfId="1" applyFont="1" applyFill="1" applyBorder="1" applyAlignment="1">
      <alignment vertical="top"/>
    </xf>
    <xf numFmtId="43" fontId="59" fillId="33" borderId="0" xfId="1" applyFont="1" applyFill="1" applyAlignment="1">
      <alignment vertical="top"/>
    </xf>
    <xf numFmtId="43" fontId="59" fillId="19" borderId="0" xfId="1" applyFont="1" applyFill="1" applyAlignment="1">
      <alignment vertical="top"/>
    </xf>
    <xf numFmtId="165" fontId="75" fillId="3" borderId="0" xfId="1" applyNumberFormat="1" applyFont="1" applyFill="1"/>
    <xf numFmtId="170" fontId="61" fillId="43" borderId="0" xfId="1" applyNumberFormat="1" applyFont="1" applyFill="1" applyAlignment="1">
      <alignment vertical="top"/>
    </xf>
    <xf numFmtId="170" fontId="61" fillId="41" borderId="0" xfId="1" applyNumberFormat="1" applyFont="1" applyFill="1" applyAlignment="1">
      <alignment vertical="top"/>
    </xf>
    <xf numFmtId="171" fontId="61" fillId="43" borderId="0" xfId="1" applyNumberFormat="1" applyFont="1" applyFill="1" applyAlignment="1">
      <alignment vertical="top"/>
    </xf>
    <xf numFmtId="170" fontId="61" fillId="19" borderId="0" xfId="1" applyNumberFormat="1" applyFont="1" applyFill="1" applyAlignment="1">
      <alignment vertical="top"/>
    </xf>
    <xf numFmtId="170" fontId="61" fillId="0" borderId="0" xfId="1" applyNumberFormat="1" applyFont="1" applyFill="1" applyAlignment="1">
      <alignment vertical="top"/>
    </xf>
    <xf numFmtId="170" fontId="61" fillId="44" borderId="0" xfId="1" applyNumberFormat="1" applyFont="1" applyFill="1" applyAlignment="1">
      <alignment vertical="top"/>
    </xf>
    <xf numFmtId="170" fontId="61" fillId="45" borderId="0" xfId="1" applyNumberFormat="1" applyFont="1" applyFill="1" applyAlignment="1">
      <alignment vertical="top"/>
    </xf>
    <xf numFmtId="170" fontId="61" fillId="46" borderId="0" xfId="1" applyNumberFormat="1" applyFont="1" applyFill="1" applyAlignment="1">
      <alignment vertical="top"/>
    </xf>
    <xf numFmtId="43" fontId="62" fillId="0" borderId="0" xfId="1" applyFont="1"/>
    <xf numFmtId="43" fontId="62" fillId="0" borderId="1" xfId="1" applyFont="1" applyFill="1" applyBorder="1"/>
    <xf numFmtId="172" fontId="61" fillId="0" borderId="0" xfId="1" applyNumberFormat="1" applyFont="1" applyFill="1" applyAlignment="1">
      <alignment vertical="top"/>
    </xf>
    <xf numFmtId="170" fontId="61" fillId="20" borderId="71" xfId="1" applyNumberFormat="1" applyFont="1" applyFill="1" applyBorder="1" applyAlignment="1">
      <alignment vertical="top"/>
    </xf>
    <xf numFmtId="170" fontId="61" fillId="47" borderId="71" xfId="1" applyNumberFormat="1" applyFont="1" applyFill="1" applyBorder="1" applyAlignment="1">
      <alignment vertical="top"/>
    </xf>
    <xf numFmtId="170" fontId="61" fillId="0" borderId="71" xfId="1" applyNumberFormat="1" applyFont="1" applyBorder="1" applyAlignment="1">
      <alignment vertical="top"/>
    </xf>
    <xf numFmtId="170" fontId="61" fillId="48" borderId="71" xfId="1" applyNumberFormat="1" applyFont="1" applyFill="1" applyBorder="1" applyAlignment="1">
      <alignment vertical="top"/>
    </xf>
    <xf numFmtId="0" fontId="6" fillId="0" borderId="43" xfId="0" applyFont="1" applyBorder="1"/>
    <xf numFmtId="165" fontId="6" fillId="0" borderId="14" xfId="1" applyNumberFormat="1" applyFont="1" applyFill="1" applyBorder="1"/>
    <xf numFmtId="165" fontId="6" fillId="0" borderId="14" xfId="1" applyNumberFormat="1" applyFont="1" applyBorder="1"/>
    <xf numFmtId="165" fontId="6" fillId="0" borderId="51" xfId="1" applyNumberFormat="1" applyFont="1" applyBorder="1"/>
    <xf numFmtId="165" fontId="6" fillId="0" borderId="52" xfId="2" applyNumberFormat="1" applyFont="1" applyBorder="1"/>
    <xf numFmtId="165" fontId="6" fillId="10" borderId="52" xfId="1" applyNumberFormat="1" applyFont="1" applyFill="1" applyBorder="1"/>
    <xf numFmtId="165" fontId="6" fillId="4" borderId="52" xfId="1" applyNumberFormat="1" applyFont="1" applyFill="1" applyBorder="1"/>
    <xf numFmtId="165" fontId="76" fillId="11" borderId="52" xfId="1" applyNumberFormat="1" applyFont="1" applyFill="1" applyBorder="1"/>
    <xf numFmtId="43" fontId="76" fillId="11" borderId="0" xfId="1" applyFont="1" applyFill="1"/>
    <xf numFmtId="165" fontId="6" fillId="0" borderId="0" xfId="1" applyNumberFormat="1" applyFont="1" applyFill="1" applyBorder="1"/>
    <xf numFmtId="165" fontId="6" fillId="11" borderId="0" xfId="1" applyNumberFormat="1" applyFont="1" applyFill="1"/>
    <xf numFmtId="165" fontId="77" fillId="11" borderId="0" xfId="1" applyNumberFormat="1" applyFont="1" applyFill="1"/>
    <xf numFmtId="165" fontId="6" fillId="22" borderId="52" xfId="1" applyNumberFormat="1" applyFont="1" applyFill="1" applyBorder="1"/>
    <xf numFmtId="165" fontId="6" fillId="5" borderId="0" xfId="1" applyNumberFormat="1" applyFont="1" applyFill="1"/>
    <xf numFmtId="165" fontId="77" fillId="13" borderId="52" xfId="1" applyNumberFormat="1" applyFont="1" applyFill="1" applyBorder="1"/>
    <xf numFmtId="165" fontId="77" fillId="16" borderId="52" xfId="1" applyNumberFormat="1" applyFont="1" applyFill="1" applyBorder="1"/>
    <xf numFmtId="165" fontId="77" fillId="17" borderId="0" xfId="1" applyNumberFormat="1" applyFont="1" applyFill="1"/>
    <xf numFmtId="165" fontId="78" fillId="11" borderId="0" xfId="1" applyNumberFormat="1" applyFont="1" applyFill="1"/>
    <xf numFmtId="165" fontId="78" fillId="2" borderId="0" xfId="1" applyNumberFormat="1" applyFont="1" applyFill="1"/>
    <xf numFmtId="165" fontId="6" fillId="2" borderId="0" xfId="1" applyNumberFormat="1" applyFont="1" applyFill="1"/>
    <xf numFmtId="165" fontId="77" fillId="21" borderId="0" xfId="1" applyNumberFormat="1" applyFont="1" applyFill="1"/>
    <xf numFmtId="165" fontId="77" fillId="0" borderId="0" xfId="1" applyNumberFormat="1" applyFont="1" applyFill="1" applyBorder="1"/>
    <xf numFmtId="165" fontId="6" fillId="17" borderId="52" xfId="1" applyNumberFormat="1" applyFont="1" applyFill="1" applyBorder="1"/>
    <xf numFmtId="43" fontId="77" fillId="18" borderId="52" xfId="1" applyFont="1" applyFill="1" applyBorder="1"/>
    <xf numFmtId="165" fontId="78" fillId="0" borderId="0" xfId="1" applyNumberFormat="1" applyFont="1" applyFill="1"/>
    <xf numFmtId="165" fontId="77" fillId="18" borderId="52" xfId="1" applyNumberFormat="1" applyFont="1" applyFill="1" applyBorder="1"/>
    <xf numFmtId="165" fontId="78" fillId="17" borderId="52" xfId="1" applyNumberFormat="1" applyFont="1" applyFill="1" applyBorder="1"/>
    <xf numFmtId="165" fontId="77" fillId="13" borderId="0" xfId="1" applyNumberFormat="1" applyFont="1" applyFill="1"/>
    <xf numFmtId="43" fontId="6" fillId="11" borderId="0" xfId="1" applyFont="1" applyFill="1"/>
    <xf numFmtId="165" fontId="77" fillId="12" borderId="52" xfId="1" applyNumberFormat="1" applyFont="1" applyFill="1" applyBorder="1"/>
    <xf numFmtId="165" fontId="6" fillId="17" borderId="0" xfId="1" applyNumberFormat="1" applyFont="1" applyFill="1"/>
    <xf numFmtId="165" fontId="77" fillId="13" borderId="52" xfId="1" applyNumberFormat="1" applyFont="1" applyFill="1" applyBorder="1" applyAlignment="1">
      <alignment vertical="center"/>
    </xf>
    <xf numFmtId="165" fontId="77" fillId="11" borderId="52" xfId="1" applyNumberFormat="1" applyFont="1" applyFill="1" applyBorder="1"/>
    <xf numFmtId="165" fontId="6" fillId="0" borderId="0" xfId="1" applyNumberFormat="1" applyFont="1" applyBorder="1"/>
    <xf numFmtId="165" fontId="6" fillId="11" borderId="0" xfId="0" applyNumberFormat="1" applyFont="1" applyFill="1"/>
    <xf numFmtId="165" fontId="6" fillId="3" borderId="0" xfId="1" applyNumberFormat="1" applyFont="1" applyFill="1"/>
    <xf numFmtId="165" fontId="77" fillId="17" borderId="52" xfId="1" applyNumberFormat="1" applyFont="1" applyFill="1" applyBorder="1"/>
    <xf numFmtId="165" fontId="6" fillId="6" borderId="0" xfId="1" applyNumberFormat="1" applyFont="1" applyFill="1"/>
    <xf numFmtId="165" fontId="79" fillId="17" borderId="52" xfId="1" applyNumberFormat="1" applyFont="1" applyFill="1" applyBorder="1"/>
    <xf numFmtId="165" fontId="77" fillId="13" borderId="0" xfId="1" applyNumberFormat="1" applyFont="1" applyFill="1" applyBorder="1"/>
    <xf numFmtId="165" fontId="6" fillId="23" borderId="0" xfId="1" applyNumberFormat="1" applyFont="1" applyFill="1"/>
    <xf numFmtId="43" fontId="80" fillId="3" borderId="0" xfId="1" applyFont="1" applyFill="1" applyAlignment="1">
      <alignment vertical="top"/>
    </xf>
    <xf numFmtId="165" fontId="6" fillId="26" borderId="0" xfId="1" applyNumberFormat="1" applyFont="1" applyFill="1"/>
    <xf numFmtId="165" fontId="6" fillId="5" borderId="0" xfId="1" applyNumberFormat="1" applyFont="1" applyFill="1" applyBorder="1"/>
    <xf numFmtId="165" fontId="6" fillId="10" borderId="0" xfId="1" applyNumberFormat="1" applyFont="1" applyFill="1" applyBorder="1"/>
    <xf numFmtId="165" fontId="81" fillId="10" borderId="52" xfId="1" applyNumberFormat="1" applyFont="1" applyFill="1" applyBorder="1"/>
    <xf numFmtId="165" fontId="82" fillId="6" borderId="52" xfId="1" applyNumberFormat="1" applyFont="1" applyFill="1" applyBorder="1"/>
    <xf numFmtId="165" fontId="6" fillId="24" borderId="0" xfId="1" applyNumberFormat="1" applyFont="1" applyFill="1"/>
    <xf numFmtId="0" fontId="6" fillId="0" borderId="0" xfId="0" applyFont="1" applyAlignment="1">
      <alignment horizontal="left"/>
    </xf>
    <xf numFmtId="43" fontId="6" fillId="0" borderId="0" xfId="0" applyNumberFormat="1" applyFont="1"/>
    <xf numFmtId="165" fontId="51" fillId="3" borderId="8" xfId="1" applyNumberFormat="1" applyFont="1" applyFill="1" applyBorder="1"/>
    <xf numFmtId="1" fontId="62" fillId="0" borderId="0" xfId="0" applyNumberFormat="1" applyFont="1" applyAlignment="1">
      <alignment horizontal="left"/>
    </xf>
    <xf numFmtId="43" fontId="60" fillId="36" borderId="0" xfId="0" applyNumberFormat="1" applyFont="1" applyFill="1" applyAlignment="1">
      <alignment horizontal="center"/>
    </xf>
    <xf numFmtId="43" fontId="65" fillId="0" borderId="0" xfId="1" applyFont="1" applyFill="1" applyAlignment="1">
      <alignment vertical="top" readingOrder="1"/>
    </xf>
    <xf numFmtId="49" fontId="49" fillId="3" borderId="10" xfId="0" applyNumberFormat="1" applyFont="1" applyFill="1" applyBorder="1" applyAlignment="1">
      <alignment horizontal="center"/>
    </xf>
    <xf numFmtId="0" fontId="0" fillId="36" borderId="0" xfId="0" applyFill="1"/>
    <xf numFmtId="166" fontId="14" fillId="28" borderId="54" xfId="1" applyNumberFormat="1" applyFont="1" applyFill="1" applyBorder="1" applyAlignment="1">
      <alignment vertical="top"/>
    </xf>
    <xf numFmtId="166" fontId="14" fillId="28" borderId="69" xfId="1" applyNumberFormat="1" applyFont="1" applyFill="1" applyBorder="1" applyAlignment="1">
      <alignment vertical="top"/>
    </xf>
    <xf numFmtId="43" fontId="61" fillId="0" borderId="0" xfId="1" applyFont="1" applyFill="1" applyAlignment="1">
      <alignment vertical="top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49" fontId="47" fillId="3" borderId="38" xfId="0" applyNumberFormat="1" applyFont="1" applyFill="1" applyBorder="1" applyAlignment="1">
      <alignment horizontal="center"/>
    </xf>
    <xf numFmtId="49" fontId="47" fillId="3" borderId="36" xfId="0" applyNumberFormat="1" applyFont="1" applyFill="1" applyBorder="1" applyAlignment="1">
      <alignment horizontal="center"/>
    </xf>
    <xf numFmtId="49" fontId="47" fillId="3" borderId="37" xfId="0" applyNumberFormat="1" applyFont="1" applyFill="1" applyBorder="1" applyAlignment="1">
      <alignment horizontal="center"/>
    </xf>
    <xf numFmtId="49" fontId="21" fillId="3" borderId="26" xfId="0" applyNumberFormat="1" applyFont="1" applyFill="1" applyBorder="1" applyAlignment="1">
      <alignment horizontal="right"/>
    </xf>
    <xf numFmtId="49" fontId="21" fillId="3" borderId="7" xfId="0" applyNumberFormat="1" applyFont="1" applyFill="1" applyBorder="1" applyAlignment="1">
      <alignment horizontal="right"/>
    </xf>
    <xf numFmtId="49" fontId="21" fillId="3" borderId="9" xfId="0" applyNumberFormat="1" applyFont="1" applyFill="1" applyBorder="1" applyAlignment="1">
      <alignment horizontal="right"/>
    </xf>
    <xf numFmtId="0" fontId="21" fillId="3" borderId="25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47" fillId="3" borderId="26" xfId="0" applyFont="1" applyFill="1" applyBorder="1" applyAlignment="1">
      <alignment horizontal="center"/>
    </xf>
    <xf numFmtId="0" fontId="47" fillId="3" borderId="7" xfId="0" applyFont="1" applyFill="1" applyBorder="1" applyAlignment="1">
      <alignment horizontal="center"/>
    </xf>
    <xf numFmtId="0" fontId="49" fillId="3" borderId="21" xfId="0" applyFont="1" applyFill="1" applyBorder="1" applyAlignment="1">
      <alignment horizontal="center"/>
    </xf>
    <xf numFmtId="0" fontId="49" fillId="3" borderId="7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46" fillId="3" borderId="21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46" fillId="3" borderId="27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center"/>
    </xf>
    <xf numFmtId="0" fontId="47" fillId="3" borderId="6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47" fillId="3" borderId="1" xfId="0" applyFont="1" applyFill="1" applyBorder="1" applyAlignment="1">
      <alignment horizontal="center"/>
    </xf>
    <xf numFmtId="165" fontId="21" fillId="3" borderId="6" xfId="1" applyNumberFormat="1" applyFont="1" applyFill="1" applyBorder="1" applyAlignment="1">
      <alignment horizontal="center"/>
    </xf>
    <xf numFmtId="0" fontId="47" fillId="3" borderId="43" xfId="0" applyFont="1" applyFill="1" applyBorder="1" applyAlignment="1">
      <alignment horizontal="center"/>
    </xf>
    <xf numFmtId="0" fontId="47" fillId="3" borderId="28" xfId="0" applyFont="1" applyFill="1" applyBorder="1" applyAlignment="1">
      <alignment horizontal="center"/>
    </xf>
    <xf numFmtId="0" fontId="47" fillId="3" borderId="46" xfId="0" applyFont="1" applyFill="1" applyBorder="1" applyAlignment="1">
      <alignment horizontal="center"/>
    </xf>
    <xf numFmtId="0" fontId="47" fillId="3" borderId="55" xfId="0" applyFont="1" applyFill="1" applyBorder="1" applyAlignment="1">
      <alignment horizontal="center"/>
    </xf>
    <xf numFmtId="0" fontId="47" fillId="3" borderId="68" xfId="0" applyFont="1" applyFill="1" applyBorder="1" applyAlignment="1">
      <alignment horizontal="center"/>
    </xf>
    <xf numFmtId="0" fontId="47" fillId="3" borderId="21" xfId="0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/>
    </xf>
    <xf numFmtId="0" fontId="47" fillId="3" borderId="27" xfId="0" applyFont="1" applyFill="1" applyBorder="1" applyAlignment="1">
      <alignment horizontal="center"/>
    </xf>
    <xf numFmtId="0" fontId="47" fillId="3" borderId="38" xfId="0" applyFont="1" applyFill="1" applyBorder="1" applyAlignment="1">
      <alignment horizontal="center"/>
    </xf>
    <xf numFmtId="0" fontId="47" fillId="3" borderId="36" xfId="0" applyFont="1" applyFill="1" applyBorder="1" applyAlignment="1">
      <alignment horizontal="center"/>
    </xf>
    <xf numFmtId="0" fontId="47" fillId="3" borderId="37" xfId="0" applyFont="1" applyFill="1" applyBorder="1" applyAlignment="1">
      <alignment horizontal="center"/>
    </xf>
    <xf numFmtId="0" fontId="47" fillId="3" borderId="41" xfId="0" applyFont="1" applyFill="1" applyBorder="1" applyAlignment="1">
      <alignment horizontal="center"/>
    </xf>
    <xf numFmtId="0" fontId="47" fillId="3" borderId="33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  <xf numFmtId="0" fontId="44" fillId="3" borderId="12" xfId="0" applyFont="1" applyFill="1" applyBorder="1" applyAlignment="1">
      <alignment horizontal="center"/>
    </xf>
    <xf numFmtId="0" fontId="44" fillId="3" borderId="18" xfId="0" applyFont="1" applyFill="1" applyBorder="1" applyAlignment="1">
      <alignment horizontal="center"/>
    </xf>
    <xf numFmtId="0" fontId="44" fillId="3" borderId="43" xfId="0" applyFont="1" applyFill="1" applyBorder="1" applyAlignment="1">
      <alignment horizontal="center"/>
    </xf>
    <xf numFmtId="0" fontId="44" fillId="3" borderId="17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21" fillId="3" borderId="61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/>
    </xf>
    <xf numFmtId="0" fontId="47" fillId="3" borderId="35" xfId="0" applyFont="1" applyFill="1" applyBorder="1" applyAlignment="1">
      <alignment horizontal="center"/>
    </xf>
    <xf numFmtId="0" fontId="47" fillId="3" borderId="40" xfId="0" applyFont="1" applyFill="1" applyBorder="1" applyAlignment="1">
      <alignment horizontal="center"/>
    </xf>
    <xf numFmtId="49" fontId="47" fillId="3" borderId="32" xfId="0" applyNumberFormat="1" applyFont="1" applyFill="1" applyBorder="1" applyAlignment="1">
      <alignment horizontal="center"/>
    </xf>
    <xf numFmtId="49" fontId="47" fillId="3" borderId="33" xfId="0" applyNumberFormat="1" applyFont="1" applyFill="1" applyBorder="1" applyAlignment="1">
      <alignment horizontal="center"/>
    </xf>
    <xf numFmtId="49" fontId="47" fillId="3" borderId="34" xfId="0" applyNumberFormat="1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50" fillId="3" borderId="0" xfId="0" applyFont="1" applyFill="1" applyAlignment="1">
      <alignment horizontal="left"/>
    </xf>
    <xf numFmtId="0" fontId="50" fillId="3" borderId="1" xfId="0" applyFont="1" applyFill="1" applyBorder="1" applyAlignment="1">
      <alignment horizontal="left"/>
    </xf>
    <xf numFmtId="0" fontId="51" fillId="3" borderId="2" xfId="0" applyFont="1" applyFill="1" applyBorder="1" applyAlignment="1">
      <alignment horizontal="left"/>
    </xf>
    <xf numFmtId="0" fontId="51" fillId="3" borderId="0" xfId="0" applyFont="1" applyFill="1" applyAlignment="1">
      <alignment horizontal="left"/>
    </xf>
    <xf numFmtId="49" fontId="51" fillId="3" borderId="26" xfId="0" applyNumberFormat="1" applyFont="1" applyFill="1" applyBorder="1" applyAlignment="1">
      <alignment horizontal="right"/>
    </xf>
    <xf numFmtId="49" fontId="51" fillId="3" borderId="7" xfId="0" applyNumberFormat="1" applyFont="1" applyFill="1" applyBorder="1" applyAlignment="1">
      <alignment horizontal="right"/>
    </xf>
    <xf numFmtId="49" fontId="51" fillId="3" borderId="9" xfId="0" applyNumberFormat="1" applyFont="1" applyFill="1" applyBorder="1" applyAlignment="1">
      <alignment horizontal="right"/>
    </xf>
    <xf numFmtId="0" fontId="44" fillId="3" borderId="2" xfId="0" applyFont="1" applyFill="1" applyBorder="1" applyAlignment="1">
      <alignment horizontal="center"/>
    </xf>
    <xf numFmtId="0" fontId="44" fillId="3" borderId="0" xfId="0" applyFont="1" applyFill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3" borderId="38" xfId="0" applyFont="1" applyFill="1" applyBorder="1" applyAlignment="1">
      <alignment horizontal="center"/>
    </xf>
    <xf numFmtId="0" fontId="44" fillId="3" borderId="36" xfId="0" applyFont="1" applyFill="1" applyBorder="1" applyAlignment="1">
      <alignment horizontal="center"/>
    </xf>
    <xf numFmtId="0" fontId="44" fillId="3" borderId="35" xfId="0" applyFont="1" applyFill="1" applyBorder="1" applyAlignment="1">
      <alignment horizontal="center"/>
    </xf>
    <xf numFmtId="0" fontId="44" fillId="3" borderId="40" xfId="0" applyFont="1" applyFill="1" applyBorder="1" applyAlignment="1">
      <alignment horizontal="center"/>
    </xf>
    <xf numFmtId="49" fontId="44" fillId="3" borderId="32" xfId="0" applyNumberFormat="1" applyFont="1" applyFill="1" applyBorder="1" applyAlignment="1">
      <alignment horizontal="center"/>
    </xf>
    <xf numFmtId="49" fontId="44" fillId="3" borderId="33" xfId="0" applyNumberFormat="1" applyFont="1" applyFill="1" applyBorder="1" applyAlignment="1">
      <alignment horizontal="center"/>
    </xf>
    <xf numFmtId="49" fontId="44" fillId="3" borderId="34" xfId="0" applyNumberFormat="1" applyFont="1" applyFill="1" applyBorder="1" applyAlignment="1">
      <alignment horizontal="center"/>
    </xf>
    <xf numFmtId="0" fontId="50" fillId="3" borderId="0" xfId="0" applyFont="1" applyFill="1" applyAlignment="1">
      <alignment horizontal="right"/>
    </xf>
    <xf numFmtId="0" fontId="51" fillId="3" borderId="0" xfId="0" applyFont="1" applyFill="1" applyAlignment="1">
      <alignment horizontal="center"/>
    </xf>
    <xf numFmtId="49" fontId="47" fillId="3" borderId="66" xfId="0" applyNumberFormat="1" applyFont="1" applyFill="1" applyBorder="1" applyAlignment="1">
      <alignment horizontal="center"/>
    </xf>
    <xf numFmtId="49" fontId="47" fillId="3" borderId="48" xfId="0" applyNumberFormat="1" applyFont="1" applyFill="1" applyBorder="1" applyAlignment="1">
      <alignment horizontal="center"/>
    </xf>
    <xf numFmtId="0" fontId="47" fillId="3" borderId="12" xfId="0" applyFont="1" applyFill="1" applyBorder="1" applyAlignment="1">
      <alignment horizontal="center"/>
    </xf>
    <xf numFmtId="0" fontId="47" fillId="3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49" fontId="17" fillId="3" borderId="32" xfId="0" applyNumberFormat="1" applyFont="1" applyFill="1" applyBorder="1" applyAlignment="1">
      <alignment horizontal="center"/>
    </xf>
    <xf numFmtId="49" fontId="17" fillId="3" borderId="33" xfId="0" applyNumberFormat="1" applyFont="1" applyFill="1" applyBorder="1" applyAlignment="1">
      <alignment horizontal="center"/>
    </xf>
    <xf numFmtId="49" fontId="17" fillId="3" borderId="34" xfId="0" applyNumberFormat="1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49" fontId="16" fillId="3" borderId="26" xfId="0" applyNumberFormat="1" applyFont="1" applyFill="1" applyBorder="1" applyAlignment="1">
      <alignment horizontal="right"/>
    </xf>
    <xf numFmtId="49" fontId="16" fillId="3" borderId="7" xfId="0" applyNumberFormat="1" applyFont="1" applyFill="1" applyBorder="1" applyAlignment="1">
      <alignment horizontal="right"/>
    </xf>
    <xf numFmtId="49" fontId="16" fillId="3" borderId="9" xfId="0" applyNumberFormat="1" applyFont="1" applyFill="1" applyBorder="1" applyAlignment="1">
      <alignment horizontal="right"/>
    </xf>
    <xf numFmtId="0" fontId="17" fillId="3" borderId="2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49" fontId="49" fillId="2" borderId="32" xfId="0" applyNumberFormat="1" applyFont="1" applyFill="1" applyBorder="1" applyAlignment="1">
      <alignment horizontal="center"/>
    </xf>
    <xf numFmtId="49" fontId="49" fillId="2" borderId="33" xfId="0" applyNumberFormat="1" applyFont="1" applyFill="1" applyBorder="1" applyAlignment="1">
      <alignment horizontal="center"/>
    </xf>
    <xf numFmtId="49" fontId="49" fillId="2" borderId="34" xfId="0" applyNumberFormat="1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49" fontId="21" fillId="2" borderId="26" xfId="0" applyNumberFormat="1" applyFont="1" applyFill="1" applyBorder="1" applyAlignment="1">
      <alignment horizontal="right"/>
    </xf>
    <xf numFmtId="49" fontId="21" fillId="2" borderId="7" xfId="0" applyNumberFormat="1" applyFont="1" applyFill="1" applyBorder="1" applyAlignment="1">
      <alignment horizontal="right"/>
    </xf>
    <xf numFmtId="49" fontId="21" fillId="2" borderId="9" xfId="0" applyNumberFormat="1" applyFont="1" applyFill="1" applyBorder="1" applyAlignment="1">
      <alignment horizontal="right"/>
    </xf>
    <xf numFmtId="0" fontId="47" fillId="2" borderId="2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2" borderId="1" xfId="0" applyFont="1" applyFill="1" applyBorder="1" applyAlignment="1">
      <alignment horizontal="center"/>
    </xf>
    <xf numFmtId="0" fontId="46" fillId="2" borderId="38" xfId="0" applyFont="1" applyFill="1" applyBorder="1" applyAlignment="1">
      <alignment horizontal="center"/>
    </xf>
    <xf numFmtId="0" fontId="46" fillId="2" borderId="36" xfId="0" applyFont="1" applyFill="1" applyBorder="1" applyAlignment="1">
      <alignment horizontal="center"/>
    </xf>
    <xf numFmtId="0" fontId="46" fillId="2" borderId="35" xfId="0" applyFont="1" applyFill="1" applyBorder="1" applyAlignment="1">
      <alignment horizontal="center"/>
    </xf>
    <xf numFmtId="0" fontId="46" fillId="2" borderId="40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/>
    </xf>
    <xf numFmtId="0" fontId="49" fillId="2" borderId="18" xfId="0" applyFont="1" applyFill="1" applyBorder="1" applyAlignment="1">
      <alignment horizontal="center"/>
    </xf>
    <xf numFmtId="0" fontId="49" fillId="2" borderId="43" xfId="0" applyFont="1" applyFill="1" applyBorder="1" applyAlignment="1">
      <alignment horizontal="center"/>
    </xf>
    <xf numFmtId="0" fontId="55" fillId="3" borderId="0" xfId="0" applyFont="1" applyFill="1" applyAlignment="1">
      <alignment horizontal="center"/>
    </xf>
    <xf numFmtId="0" fontId="49" fillId="3" borderId="13" xfId="0" applyFont="1" applyFill="1" applyBorder="1" applyAlignment="1">
      <alignment horizontal="center"/>
    </xf>
    <xf numFmtId="0" fontId="49" fillId="3" borderId="0" xfId="0" applyFont="1" applyFill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3" fillId="0" borderId="0" xfId="1" applyNumberFormat="1" applyFon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Alignment="1">
      <alignment horizontal="left"/>
    </xf>
    <xf numFmtId="43" fontId="74" fillId="0" borderId="0" xfId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0" fillId="36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</cellXfs>
  <cellStyles count="19">
    <cellStyle name="Comma" xfId="1" builtinId="3"/>
    <cellStyle name="Currency" xfId="3" builtinId="4"/>
    <cellStyle name="Millares 2" xfId="2" xr:uid="{00000000-0005-0000-0000-000001000000}"/>
    <cellStyle name="Millares 2 2" xfId="14" xr:uid="{00000000-0005-0000-0000-000002000000}"/>
    <cellStyle name="Millares 2 3" xfId="11" xr:uid="{00000000-0005-0000-0000-000003000000}"/>
    <cellStyle name="Millares 3" xfId="6" xr:uid="{00000000-0005-0000-0000-000004000000}"/>
    <cellStyle name="Millares 3 2" xfId="18" xr:uid="{00000000-0005-0000-0000-000005000000}"/>
    <cellStyle name="Millares 4" xfId="8" xr:uid="{00000000-0005-0000-0000-000006000000}"/>
    <cellStyle name="Millares 5" xfId="13" xr:uid="{00000000-0005-0000-0000-000007000000}"/>
    <cellStyle name="Moneda 2" xfId="15" xr:uid="{00000000-0005-0000-0000-000009000000}"/>
    <cellStyle name="Normal" xfId="0" builtinId="0"/>
    <cellStyle name="Normal 2" xfId="5" xr:uid="{00000000-0005-0000-0000-00000B000000}"/>
    <cellStyle name="Normal 2 2" xfId="17" xr:uid="{00000000-0005-0000-0000-00000C000000}"/>
    <cellStyle name="Normal 2 3" xfId="10" xr:uid="{00000000-0005-0000-0000-00000D000000}"/>
    <cellStyle name="Normal 3" xfId="7" xr:uid="{00000000-0005-0000-0000-00000E000000}"/>
    <cellStyle name="Normal 4" xfId="12" xr:uid="{00000000-0005-0000-0000-00000F000000}"/>
    <cellStyle name="Normal 5" xfId="9" xr:uid="{00000000-0005-0000-0000-000010000000}"/>
    <cellStyle name="Percent" xfId="4" builtinId="5"/>
    <cellStyle name="Porcentaje 2" xfId="16" xr:uid="{00000000-0005-0000-0000-000012000000}"/>
  </cellStyles>
  <dxfs count="1">
    <dxf>
      <font>
        <b/>
        <i val="0"/>
        <color rgb="FFC00000"/>
      </font>
    </dxf>
  </dxfs>
  <tableStyles count="0" defaultTableStyle="TableStyleMedium9" defaultPivotStyle="PivotStyleLight16"/>
  <colors>
    <mruColors>
      <color rgb="FF33CC33"/>
      <color rgb="FFFF9933"/>
      <color rgb="FFFF6699"/>
      <color rgb="FFFF33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Hoja1!$B$24:$G$30</c:f>
              <c:multiLvlStrCache>
                <c:ptCount val="3"/>
                <c:lvl>
                  <c:pt idx="0">
                    <c:v>Intereses</c:v>
                  </c:pt>
                  <c:pt idx="1">
                    <c:v>Ints. Por Coloción de Inv. Financ.del Merc. Int.</c:v>
                  </c:pt>
                  <c:pt idx="2">
                    <c:v>(Ingresos Financieros)</c:v>
                  </c:pt>
                </c:lvl>
                <c:lvl>
                  <c:pt idx="1">
                    <c:v>02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Hoja1!$H$24:$H$30</c:f>
              <c:numCache>
                <c:formatCode>General</c:formatCode>
                <c:ptCount val="3"/>
                <c:pt idx="1">
                  <c:v>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D-43A9-B0CC-6F28E92F1C5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Hoja1!$B$24:$G$30</c:f>
              <c:multiLvlStrCache>
                <c:ptCount val="3"/>
                <c:lvl>
                  <c:pt idx="0">
                    <c:v>Intereses</c:v>
                  </c:pt>
                  <c:pt idx="1">
                    <c:v>Ints. Por Coloción de Inv. Financ.del Merc. Int.</c:v>
                  </c:pt>
                  <c:pt idx="2">
                    <c:v>(Ingresos Financieros)</c:v>
                  </c:pt>
                </c:lvl>
                <c:lvl>
                  <c:pt idx="1">
                    <c:v>02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Hoja1!$I$24:$I$30</c:f>
              <c:numCache>
                <c:formatCode>_(* #,##0_);_(* \(#,##0\);_(* "-"??_);_(@_)</c:formatCode>
                <c:ptCount val="3"/>
                <c:pt idx="0">
                  <c:v>292709814</c:v>
                </c:pt>
                <c:pt idx="1">
                  <c:v>250553475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D-43A9-B0CC-6F28E92F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45712"/>
        <c:axId val="281046104"/>
      </c:barChart>
      <c:catAx>
        <c:axId val="2810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46104"/>
        <c:crosses val="autoZero"/>
        <c:auto val="1"/>
        <c:lblAlgn val="ctr"/>
        <c:lblOffset val="100"/>
        <c:noMultiLvlLbl val="0"/>
      </c:catAx>
      <c:valAx>
        <c:axId val="28104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3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2</xdr:col>
      <xdr:colOff>551180</xdr:colOff>
      <xdr:row>8</xdr:row>
      <xdr:rowOff>37465</xdr:rowOff>
    </xdr:to>
    <xdr:pic>
      <xdr:nvPicPr>
        <xdr:cNvPr id="2" name="Imagen 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93" t="8073" r="5452" b="6361"/>
        <a:stretch>
          <a:fillRect/>
        </a:stretch>
      </xdr:blipFill>
      <xdr:spPr bwMode="auto">
        <a:xfrm>
          <a:off x="95250" y="323850"/>
          <a:ext cx="1979930" cy="100901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12</xdr:row>
      <xdr:rowOff>83433</xdr:rowOff>
    </xdr:from>
    <xdr:ext cx="6391275" cy="1130118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026533"/>
          <a:ext cx="6391275" cy="1130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DO" sz="3600" b="1">
              <a:solidFill>
                <a:schemeClr val="tx1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+mn-ea"/>
              <a:cs typeface="+mn-cs"/>
            </a:rPr>
            <a:t>BANCO AGRICOLA </a:t>
          </a:r>
          <a:endParaRPr lang="es-ES" sz="360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DO" sz="3000" b="1">
              <a:solidFill>
                <a:schemeClr val="tx1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+mn-ea"/>
              <a:cs typeface="+mn-cs"/>
            </a:rPr>
            <a:t>DE LA REPUBLICA DOMINICANA</a:t>
          </a:r>
          <a:endParaRPr lang="es-ES" sz="3000">
            <a:effectLst/>
            <a:latin typeface="Century Gothic" panose="020B0502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38</xdr:row>
      <xdr:rowOff>38100</xdr:rowOff>
    </xdr:from>
    <xdr:ext cx="6400799" cy="53340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6191250"/>
          <a:ext cx="6400799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s-DO" sz="2500" b="1">
              <a:solidFill>
                <a:schemeClr val="tx1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+mn-ea"/>
              <a:cs typeface="+mn-cs"/>
            </a:rPr>
            <a:t>DICIEMBRE 2022</a:t>
          </a:r>
          <a:endParaRPr lang="es-ES" sz="2500" b="1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51</xdr:row>
      <xdr:rowOff>25266</xdr:rowOff>
    </xdr:from>
    <xdr:ext cx="6229350" cy="312458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8283441"/>
          <a:ext cx="6229350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Dirección de Contraloría</a:t>
          </a:r>
          <a:endParaRPr lang="es-ES" sz="1400" b="1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25</xdr:row>
      <xdr:rowOff>153449</xdr:rowOff>
    </xdr:from>
    <xdr:ext cx="6381750" cy="141307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4201574"/>
          <a:ext cx="6381750" cy="1413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DO" sz="2800" b="1">
              <a:solidFill>
                <a:schemeClr val="tx1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+mn-ea"/>
              <a:cs typeface="+mn-cs"/>
            </a:rPr>
            <a:t>INFORME </a:t>
          </a:r>
          <a:endParaRPr lang="es-ES" sz="2800" b="1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DO" sz="2800" b="1">
              <a:solidFill>
                <a:schemeClr val="tx1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+mn-ea"/>
              <a:cs typeface="+mn-cs"/>
            </a:rPr>
            <a:t>DE LA EJEUCUCION PRESUPUESTARIA</a:t>
          </a:r>
          <a:endParaRPr lang="es-ES" sz="2800" b="1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endParaRPr lang="es-ES" sz="28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114300</xdr:rowOff>
    </xdr:from>
    <xdr:to>
      <xdr:col>3</xdr:col>
      <xdr:colOff>142875</xdr:colOff>
      <xdr:row>4</xdr:row>
      <xdr:rowOff>66675</xdr:rowOff>
    </xdr:to>
    <xdr:pic>
      <xdr:nvPicPr>
        <xdr:cNvPr id="4" name="Imagen 3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1" y="285750"/>
          <a:ext cx="1019174" cy="523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161925</xdr:rowOff>
    </xdr:from>
    <xdr:to>
      <xdr:col>1</xdr:col>
      <xdr:colOff>180975</xdr:colOff>
      <xdr:row>86</xdr:row>
      <xdr:rowOff>76200</xdr:rowOff>
    </xdr:to>
    <xdr:pic>
      <xdr:nvPicPr>
        <xdr:cNvPr id="6" name="Imagen 5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15125700"/>
          <a:ext cx="9429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104776</xdr:colOff>
      <xdr:row>1</xdr:row>
      <xdr:rowOff>104774</xdr:rowOff>
    </xdr:from>
    <xdr:to>
      <xdr:col>2</xdr:col>
      <xdr:colOff>85725</xdr:colOff>
      <xdr:row>4</xdr:row>
      <xdr:rowOff>133350</xdr:rowOff>
    </xdr:to>
    <xdr:pic>
      <xdr:nvPicPr>
        <xdr:cNvPr id="7" name="Imagen 6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04776" y="304799"/>
          <a:ext cx="1133474" cy="647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78</xdr:row>
      <xdr:rowOff>66675</xdr:rowOff>
    </xdr:from>
    <xdr:to>
      <xdr:col>1</xdr:col>
      <xdr:colOff>295275</xdr:colOff>
      <xdr:row>78</xdr:row>
      <xdr:rowOff>68645</xdr:rowOff>
    </xdr:to>
    <xdr:pic>
      <xdr:nvPicPr>
        <xdr:cNvPr id="4103" name="Picture 326" descr="Nuevo Presentación de Microsoft Office PowerPoint">
          <a:extLst>
            <a:ext uri="{FF2B5EF4-FFF2-40B4-BE49-F238E27FC236}">
              <a16:creationId xmlns:a16="http://schemas.microsoft.com/office/drawing/2014/main" id="{00000000-0008-0000-04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1782425"/>
          <a:ext cx="419100" cy="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4</xdr:row>
      <xdr:rowOff>28575</xdr:rowOff>
    </xdr:from>
    <xdr:to>
      <xdr:col>6</xdr:col>
      <xdr:colOff>238125</xdr:colOff>
      <xdr:row>4</xdr:row>
      <xdr:rowOff>31225</xdr:rowOff>
    </xdr:to>
    <xdr:pic>
      <xdr:nvPicPr>
        <xdr:cNvPr id="4104" name="Picture 326" descr="Nuevo Presentación de Microsoft Office PowerPoint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714375"/>
          <a:ext cx="419100" cy="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47624</xdr:rowOff>
    </xdr:from>
    <xdr:to>
      <xdr:col>3</xdr:col>
      <xdr:colOff>107315</xdr:colOff>
      <xdr:row>4</xdr:row>
      <xdr:rowOff>140969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219074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76200</xdr:colOff>
      <xdr:row>78</xdr:row>
      <xdr:rowOff>76200</xdr:rowOff>
    </xdr:from>
    <xdr:to>
      <xdr:col>3</xdr:col>
      <xdr:colOff>145415</xdr:colOff>
      <xdr:row>81</xdr:row>
      <xdr:rowOff>112395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76200" y="12582525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104775</xdr:rowOff>
    </xdr:from>
    <xdr:to>
      <xdr:col>3</xdr:col>
      <xdr:colOff>316865</xdr:colOff>
      <xdr:row>4</xdr:row>
      <xdr:rowOff>131445</xdr:rowOff>
    </xdr:to>
    <xdr:pic>
      <xdr:nvPicPr>
        <xdr:cNvPr id="6" name="Imagen 5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304800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87</xdr:row>
      <xdr:rowOff>76200</xdr:rowOff>
    </xdr:from>
    <xdr:to>
      <xdr:col>3</xdr:col>
      <xdr:colOff>259715</xdr:colOff>
      <xdr:row>90</xdr:row>
      <xdr:rowOff>102870</xdr:rowOff>
    </xdr:to>
    <xdr:pic>
      <xdr:nvPicPr>
        <xdr:cNvPr id="7" name="Imagen 6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0" y="16135350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3</xdr:col>
      <xdr:colOff>374015</xdr:colOff>
      <xdr:row>3</xdr:row>
      <xdr:rowOff>169545</xdr:rowOff>
    </xdr:to>
    <xdr:pic>
      <xdr:nvPicPr>
        <xdr:cNvPr id="4" name="Imagen 3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42875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76200</xdr:colOff>
      <xdr:row>1</xdr:row>
      <xdr:rowOff>85725</xdr:rowOff>
    </xdr:to>
    <xdr:pic>
      <xdr:nvPicPr>
        <xdr:cNvPr id="5124" name="Picture 326" descr="Nuevo Presentación de Microsoft Office PowerPoint">
          <a:extLst>
            <a:ext uri="{FF2B5EF4-FFF2-40B4-BE49-F238E27FC236}">
              <a16:creationId xmlns:a16="http://schemas.microsoft.com/office/drawing/2014/main" id="{00000000-0008-0000-07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4191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44929</xdr:colOff>
      <xdr:row>1</xdr:row>
      <xdr:rowOff>107829</xdr:rowOff>
    </xdr:from>
    <xdr:to>
      <xdr:col>3</xdr:col>
      <xdr:colOff>273014</xdr:colOff>
      <xdr:row>4</xdr:row>
      <xdr:rowOff>95501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44929" y="305518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2</xdr:col>
      <xdr:colOff>202565</xdr:colOff>
      <xdr:row>4</xdr:row>
      <xdr:rowOff>83820</xdr:rowOff>
    </xdr:to>
    <xdr:pic>
      <xdr:nvPicPr>
        <xdr:cNvPr id="6" name="Imagen 5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95250" y="295275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47625</xdr:colOff>
      <xdr:row>88</xdr:row>
      <xdr:rowOff>142875</xdr:rowOff>
    </xdr:from>
    <xdr:to>
      <xdr:col>2</xdr:col>
      <xdr:colOff>154940</xdr:colOff>
      <xdr:row>91</xdr:row>
      <xdr:rowOff>131445</xdr:rowOff>
    </xdr:to>
    <xdr:pic>
      <xdr:nvPicPr>
        <xdr:cNvPr id="7" name="Imagen 6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47625" y="12630150"/>
          <a:ext cx="1288415" cy="607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opLeftCell="A22" zoomScaleNormal="100" workbookViewId="0">
      <selection activeCell="J12" sqref="J12"/>
    </sheetView>
  </sheetViews>
  <sheetFormatPr defaultColWidth="11.42578125" defaultRowHeight="12.75" x14ac:dyDescent="0.2"/>
  <cols>
    <col min="1" max="1" width="11.42578125" customWidth="1"/>
    <col min="8" max="8" width="12.28515625" customWidth="1"/>
  </cols>
  <sheetData>
    <row r="1" spans="1:8" x14ac:dyDescent="0.2">
      <c r="A1" s="205"/>
      <c r="B1" s="205"/>
      <c r="C1" s="205"/>
      <c r="D1" s="205"/>
      <c r="E1" s="205"/>
      <c r="F1" s="205"/>
      <c r="G1" s="205"/>
      <c r="H1" s="205"/>
    </row>
    <row r="2" spans="1:8" x14ac:dyDescent="0.2">
      <c r="A2" s="205"/>
      <c r="B2" s="205"/>
      <c r="C2" s="205"/>
      <c r="D2" s="205"/>
      <c r="E2" s="205"/>
      <c r="F2" s="205"/>
      <c r="G2" s="205"/>
      <c r="H2" s="205"/>
    </row>
    <row r="3" spans="1:8" x14ac:dyDescent="0.2">
      <c r="A3" s="205"/>
      <c r="B3" s="205"/>
      <c r="C3" s="205"/>
      <c r="D3" s="205"/>
      <c r="E3" s="205"/>
      <c r="F3" s="205"/>
      <c r="G3" s="205"/>
      <c r="H3" s="205"/>
    </row>
    <row r="4" spans="1:8" x14ac:dyDescent="0.2">
      <c r="A4" s="205"/>
      <c r="B4" s="205"/>
      <c r="C4" s="205"/>
      <c r="D4" s="205"/>
      <c r="E4" s="205"/>
      <c r="F4" s="205"/>
      <c r="G4" s="205"/>
      <c r="H4" s="205"/>
    </row>
    <row r="5" spans="1:8" x14ac:dyDescent="0.2">
      <c r="A5" s="205"/>
      <c r="B5" s="205"/>
      <c r="C5" s="205"/>
      <c r="D5" s="205"/>
      <c r="E5" s="205"/>
      <c r="F5" s="205"/>
      <c r="G5" s="205"/>
      <c r="H5" s="205"/>
    </row>
    <row r="6" spans="1:8" x14ac:dyDescent="0.2">
      <c r="A6" s="205"/>
      <c r="B6" s="205"/>
      <c r="C6" s="205"/>
      <c r="D6" s="205"/>
      <c r="E6" s="205"/>
      <c r="F6" s="205"/>
      <c r="G6" s="205"/>
      <c r="H6" s="205"/>
    </row>
    <row r="7" spans="1:8" x14ac:dyDescent="0.2">
      <c r="A7" s="205"/>
      <c r="B7" s="205"/>
      <c r="C7" s="205"/>
      <c r="D7" s="205"/>
      <c r="E7" s="205"/>
      <c r="F7" s="205"/>
      <c r="G7" s="205"/>
      <c r="H7" s="205"/>
    </row>
    <row r="8" spans="1:8" x14ac:dyDescent="0.2">
      <c r="A8" s="205"/>
      <c r="B8" s="205"/>
      <c r="C8" s="205"/>
      <c r="D8" s="205"/>
      <c r="E8" s="205"/>
      <c r="F8" s="205"/>
      <c r="G8" s="205"/>
      <c r="H8" s="205"/>
    </row>
    <row r="9" spans="1:8" x14ac:dyDescent="0.2">
      <c r="A9" s="205"/>
      <c r="B9" s="205"/>
      <c r="C9" s="205"/>
      <c r="D9" s="205"/>
      <c r="E9" s="205"/>
      <c r="F9" s="205"/>
      <c r="G9" s="205"/>
      <c r="H9" s="205"/>
    </row>
    <row r="10" spans="1:8" x14ac:dyDescent="0.2">
      <c r="A10" s="205"/>
      <c r="B10" s="205"/>
      <c r="C10" s="205"/>
      <c r="D10" s="205"/>
      <c r="E10" s="205"/>
      <c r="F10" s="205"/>
      <c r="G10" s="205"/>
      <c r="H10" s="205"/>
    </row>
    <row r="11" spans="1:8" x14ac:dyDescent="0.2">
      <c r="A11" s="205"/>
      <c r="B11" s="205"/>
      <c r="C11" s="205"/>
      <c r="D11" s="205"/>
      <c r="E11" s="205"/>
      <c r="F11" s="205"/>
      <c r="G11" s="205"/>
      <c r="H11" s="205"/>
    </row>
    <row r="12" spans="1:8" x14ac:dyDescent="0.2">
      <c r="A12" s="205"/>
      <c r="B12" s="205"/>
      <c r="C12" s="205"/>
      <c r="D12" s="205"/>
      <c r="E12" s="205"/>
      <c r="F12" s="205"/>
      <c r="G12" s="205"/>
      <c r="H12" s="205"/>
    </row>
    <row r="13" spans="1:8" x14ac:dyDescent="0.2">
      <c r="A13" s="205"/>
      <c r="B13" s="205"/>
      <c r="C13" s="205"/>
      <c r="D13" s="205"/>
      <c r="E13" s="205"/>
      <c r="F13" s="205"/>
      <c r="G13" s="205"/>
      <c r="H13" s="205"/>
    </row>
    <row r="14" spans="1:8" x14ac:dyDescent="0.2">
      <c r="A14" s="205"/>
      <c r="B14" s="205"/>
      <c r="C14" s="205"/>
      <c r="D14" s="205"/>
      <c r="E14" s="205"/>
      <c r="F14" s="205"/>
      <c r="G14" s="205"/>
      <c r="H14" s="205"/>
    </row>
    <row r="15" spans="1:8" x14ac:dyDescent="0.2">
      <c r="A15" s="205"/>
      <c r="B15" s="205"/>
      <c r="C15" s="205"/>
      <c r="D15" s="205"/>
      <c r="E15" s="205"/>
      <c r="F15" s="205"/>
      <c r="G15" s="205"/>
      <c r="H15" s="205"/>
    </row>
    <row r="16" spans="1:8" x14ac:dyDescent="0.2">
      <c r="A16" s="205"/>
      <c r="B16" s="205"/>
      <c r="C16" s="205"/>
      <c r="D16" s="205"/>
      <c r="E16" s="205"/>
      <c r="F16" s="205"/>
      <c r="G16" s="205"/>
      <c r="H16" s="205"/>
    </row>
    <row r="17" spans="1:8" x14ac:dyDescent="0.2">
      <c r="A17" s="205"/>
      <c r="B17" s="205"/>
      <c r="C17" s="205"/>
      <c r="D17" s="205"/>
      <c r="E17" s="205"/>
      <c r="F17" s="205"/>
      <c r="G17" s="205"/>
      <c r="H17" s="205"/>
    </row>
    <row r="18" spans="1:8" x14ac:dyDescent="0.2">
      <c r="A18" s="205"/>
      <c r="B18" s="205"/>
      <c r="C18" s="205"/>
      <c r="D18" s="205"/>
      <c r="E18" s="205"/>
      <c r="F18" s="205"/>
      <c r="G18" s="205"/>
      <c r="H18" s="205"/>
    </row>
    <row r="19" spans="1:8" x14ac:dyDescent="0.2">
      <c r="A19" s="205"/>
      <c r="B19" s="205"/>
      <c r="C19" s="205"/>
      <c r="D19" s="205"/>
      <c r="E19" s="205"/>
      <c r="F19" s="205"/>
      <c r="G19" s="205"/>
      <c r="H19" s="205"/>
    </row>
    <row r="20" spans="1:8" x14ac:dyDescent="0.2">
      <c r="A20" s="205"/>
      <c r="B20" s="205"/>
      <c r="C20" s="205"/>
      <c r="D20" s="205"/>
      <c r="E20" s="205"/>
      <c r="F20" s="205"/>
      <c r="G20" s="205"/>
      <c r="H20" s="205"/>
    </row>
    <row r="21" spans="1:8" x14ac:dyDescent="0.2">
      <c r="A21" s="205"/>
      <c r="B21" s="205"/>
      <c r="C21" s="205"/>
      <c r="D21" s="205"/>
      <c r="E21" s="205"/>
      <c r="F21" s="205"/>
      <c r="G21" s="205"/>
      <c r="H21" s="205"/>
    </row>
    <row r="22" spans="1:8" x14ac:dyDescent="0.2">
      <c r="A22" s="205"/>
      <c r="B22" s="205"/>
      <c r="C22" s="205"/>
      <c r="D22" s="205"/>
      <c r="E22" s="205"/>
      <c r="F22" s="205"/>
      <c r="G22" s="205"/>
      <c r="H22" s="205"/>
    </row>
    <row r="23" spans="1:8" x14ac:dyDescent="0.2">
      <c r="A23" s="205"/>
      <c r="B23" s="205"/>
      <c r="C23" s="205"/>
      <c r="D23" s="205"/>
      <c r="E23" s="205"/>
      <c r="F23" s="205"/>
      <c r="G23" s="205"/>
      <c r="H23" s="205"/>
    </row>
    <row r="24" spans="1:8" x14ac:dyDescent="0.2">
      <c r="A24" s="205"/>
      <c r="B24" s="205"/>
      <c r="C24" s="205"/>
      <c r="D24" s="205"/>
      <c r="E24" s="205"/>
      <c r="F24" s="205"/>
      <c r="G24" s="205"/>
      <c r="H24" s="205"/>
    </row>
    <row r="25" spans="1:8" x14ac:dyDescent="0.2">
      <c r="A25" s="205"/>
      <c r="B25" s="205"/>
      <c r="C25" s="205"/>
      <c r="D25" s="205"/>
      <c r="E25" s="205"/>
      <c r="F25" s="205"/>
      <c r="G25" s="205"/>
      <c r="H25" s="205"/>
    </row>
    <row r="26" spans="1:8" x14ac:dyDescent="0.2">
      <c r="A26" s="205"/>
      <c r="B26" s="205"/>
      <c r="C26" s="205"/>
      <c r="D26" s="205"/>
      <c r="E26" s="205"/>
      <c r="F26" s="205"/>
      <c r="G26" s="205"/>
      <c r="H26" s="205"/>
    </row>
    <row r="27" spans="1:8" x14ac:dyDescent="0.2">
      <c r="A27" s="205"/>
      <c r="B27" s="205"/>
      <c r="C27" s="205"/>
      <c r="D27" s="205"/>
      <c r="E27" s="205"/>
      <c r="F27" s="205"/>
      <c r="G27" s="205"/>
      <c r="H27" s="205"/>
    </row>
    <row r="28" spans="1:8" x14ac:dyDescent="0.2">
      <c r="A28" s="205"/>
      <c r="B28" s="205"/>
      <c r="C28" s="205"/>
      <c r="D28" s="205"/>
      <c r="E28" s="205"/>
      <c r="F28" s="205"/>
      <c r="G28" s="205"/>
      <c r="H28" s="205"/>
    </row>
    <row r="29" spans="1:8" x14ac:dyDescent="0.2">
      <c r="A29" s="205"/>
      <c r="B29" s="205"/>
      <c r="C29" s="205"/>
      <c r="D29" s="205"/>
      <c r="E29" s="205"/>
      <c r="F29" s="205"/>
      <c r="G29" s="205"/>
      <c r="H29" s="205"/>
    </row>
    <row r="30" spans="1:8" x14ac:dyDescent="0.2">
      <c r="A30" s="205"/>
      <c r="B30" s="205"/>
      <c r="C30" s="205"/>
      <c r="D30" s="205"/>
      <c r="E30" s="205"/>
      <c r="F30" s="205"/>
      <c r="G30" s="205"/>
      <c r="H30" s="205"/>
    </row>
    <row r="31" spans="1:8" x14ac:dyDescent="0.2">
      <c r="A31" s="205"/>
      <c r="B31" s="205"/>
      <c r="C31" s="205"/>
      <c r="D31" s="205"/>
      <c r="E31" s="205"/>
      <c r="F31" s="205"/>
      <c r="G31" s="205"/>
      <c r="H31" s="205"/>
    </row>
    <row r="32" spans="1:8" x14ac:dyDescent="0.2">
      <c r="A32" s="205"/>
      <c r="B32" s="205"/>
      <c r="C32" s="205"/>
      <c r="D32" s="205"/>
      <c r="E32" s="205"/>
      <c r="F32" s="205"/>
      <c r="G32" s="205"/>
      <c r="H32" s="205"/>
    </row>
    <row r="33" spans="1:8" x14ac:dyDescent="0.2">
      <c r="A33" s="205"/>
      <c r="B33" s="205"/>
      <c r="C33" s="205"/>
      <c r="D33" s="205"/>
      <c r="E33" s="205"/>
      <c r="F33" s="205"/>
      <c r="G33" s="205"/>
      <c r="H33" s="205"/>
    </row>
    <row r="34" spans="1:8" x14ac:dyDescent="0.2">
      <c r="A34" s="205"/>
      <c r="B34" s="205"/>
      <c r="C34" s="205"/>
      <c r="D34" s="205"/>
      <c r="E34" s="205"/>
      <c r="F34" s="205"/>
      <c r="G34" s="205"/>
      <c r="H34" s="205"/>
    </row>
    <row r="35" spans="1:8" x14ac:dyDescent="0.2">
      <c r="A35" s="205"/>
      <c r="B35" s="205"/>
      <c r="C35" s="205"/>
      <c r="D35" s="205"/>
      <c r="E35" s="205"/>
      <c r="F35" s="205"/>
      <c r="G35" s="205"/>
      <c r="H35" s="205"/>
    </row>
    <row r="36" spans="1:8" x14ac:dyDescent="0.2">
      <c r="A36" s="205"/>
      <c r="B36" s="205"/>
      <c r="C36" s="205"/>
      <c r="D36" s="205"/>
      <c r="E36" s="205"/>
      <c r="F36" s="205"/>
      <c r="G36" s="205"/>
      <c r="H36" s="205"/>
    </row>
    <row r="37" spans="1:8" x14ac:dyDescent="0.2">
      <c r="A37" s="205"/>
      <c r="B37" s="205"/>
      <c r="C37" s="205"/>
      <c r="D37" s="205"/>
      <c r="E37" s="205"/>
      <c r="F37" s="205"/>
      <c r="G37" s="205"/>
      <c r="H37" s="205"/>
    </row>
    <row r="38" spans="1:8" x14ac:dyDescent="0.2">
      <c r="A38" s="205"/>
      <c r="B38" s="205"/>
      <c r="C38" s="205"/>
      <c r="D38" s="205"/>
      <c r="E38" s="205"/>
      <c r="F38" s="205"/>
      <c r="G38" s="205"/>
      <c r="H38" s="205"/>
    </row>
    <row r="39" spans="1:8" x14ac:dyDescent="0.2">
      <c r="A39" s="205"/>
      <c r="B39" s="205"/>
      <c r="C39" s="205"/>
      <c r="D39" s="205"/>
      <c r="E39" s="205"/>
      <c r="F39" s="205"/>
      <c r="G39" s="205"/>
      <c r="H39" s="205"/>
    </row>
    <row r="40" spans="1:8" x14ac:dyDescent="0.2">
      <c r="A40" s="205"/>
      <c r="B40" s="205"/>
      <c r="C40" s="205"/>
      <c r="D40" s="205"/>
      <c r="E40" s="205"/>
      <c r="F40" s="205"/>
      <c r="G40" s="205"/>
      <c r="H40" s="205"/>
    </row>
    <row r="41" spans="1:8" x14ac:dyDescent="0.2">
      <c r="A41" s="205"/>
      <c r="B41" s="205"/>
      <c r="C41" s="205"/>
      <c r="D41" s="205"/>
      <c r="E41" s="205"/>
      <c r="F41" s="205"/>
      <c r="G41" s="205"/>
      <c r="H41" s="205"/>
    </row>
    <row r="42" spans="1:8" x14ac:dyDescent="0.2">
      <c r="A42" s="205"/>
      <c r="B42" s="205"/>
      <c r="C42" s="205"/>
      <c r="D42" s="205"/>
      <c r="E42" s="205"/>
      <c r="F42" s="205"/>
      <c r="G42" s="205"/>
      <c r="H42" s="205"/>
    </row>
    <row r="43" spans="1:8" x14ac:dyDescent="0.2">
      <c r="A43" s="205"/>
      <c r="B43" s="205"/>
      <c r="C43" s="205"/>
      <c r="D43" s="205"/>
      <c r="E43" s="205"/>
      <c r="F43" s="205"/>
      <c r="G43" s="205"/>
      <c r="H43" s="205"/>
    </row>
    <row r="44" spans="1:8" x14ac:dyDescent="0.2">
      <c r="A44" s="205"/>
      <c r="B44" s="205"/>
      <c r="C44" s="205"/>
      <c r="D44" s="205"/>
      <c r="E44" s="205"/>
      <c r="F44" s="205"/>
      <c r="G44" s="205"/>
      <c r="H44" s="205"/>
    </row>
    <row r="45" spans="1:8" x14ac:dyDescent="0.2">
      <c r="A45" s="205"/>
      <c r="B45" s="205"/>
      <c r="C45" s="205"/>
      <c r="D45" s="205"/>
      <c r="E45" s="205"/>
      <c r="F45" s="205"/>
      <c r="G45" s="205"/>
      <c r="H45" s="205"/>
    </row>
    <row r="46" spans="1:8" x14ac:dyDescent="0.2">
      <c r="A46" s="205"/>
      <c r="B46" s="205"/>
      <c r="C46" s="205"/>
      <c r="D46" s="205"/>
      <c r="E46" s="205"/>
      <c r="F46" s="205"/>
      <c r="G46" s="205"/>
      <c r="H46" s="205"/>
    </row>
    <row r="47" spans="1:8" x14ac:dyDescent="0.2">
      <c r="A47" s="205"/>
      <c r="B47" s="205"/>
      <c r="C47" s="205"/>
      <c r="D47" s="205"/>
      <c r="E47" s="205"/>
      <c r="F47" s="205"/>
      <c r="G47" s="205"/>
      <c r="H47" s="205"/>
    </row>
    <row r="48" spans="1:8" x14ac:dyDescent="0.2">
      <c r="A48" s="205"/>
      <c r="B48" s="205"/>
      <c r="C48" s="205"/>
      <c r="D48" s="205"/>
      <c r="E48" s="205"/>
      <c r="F48" s="205"/>
      <c r="G48" s="205"/>
      <c r="H48" s="205"/>
    </row>
    <row r="49" spans="1:8" x14ac:dyDescent="0.2">
      <c r="A49" s="205"/>
      <c r="B49" s="205"/>
      <c r="C49" s="205"/>
      <c r="D49" s="205"/>
      <c r="E49" s="205"/>
      <c r="F49" s="205"/>
      <c r="G49" s="205"/>
      <c r="H49" s="205"/>
    </row>
    <row r="50" spans="1:8" x14ac:dyDescent="0.2">
      <c r="A50" s="205"/>
      <c r="B50" s="205"/>
      <c r="C50" s="205"/>
      <c r="D50" s="205"/>
      <c r="E50" s="205"/>
      <c r="F50" s="205"/>
      <c r="G50" s="205"/>
      <c r="H50" s="205"/>
    </row>
    <row r="51" spans="1:8" x14ac:dyDescent="0.2">
      <c r="A51" s="205"/>
      <c r="B51" s="205"/>
      <c r="C51" s="205"/>
      <c r="D51" s="205"/>
      <c r="E51" s="205"/>
      <c r="F51" s="205"/>
      <c r="G51" s="205"/>
      <c r="H51" s="205"/>
    </row>
    <row r="52" spans="1:8" x14ac:dyDescent="0.2">
      <c r="A52" s="205"/>
      <c r="B52" s="205"/>
      <c r="C52" s="205"/>
      <c r="D52" s="205"/>
      <c r="E52" s="205"/>
      <c r="F52" s="205"/>
      <c r="G52" s="205"/>
      <c r="H52" s="205"/>
    </row>
    <row r="53" spans="1:8" x14ac:dyDescent="0.2">
      <c r="A53" s="205"/>
      <c r="B53" s="205"/>
      <c r="C53" s="205"/>
      <c r="D53" s="205"/>
      <c r="E53" s="205"/>
      <c r="F53" s="205"/>
      <c r="G53" s="205"/>
      <c r="H53" s="205"/>
    </row>
    <row r="54" spans="1:8" x14ac:dyDescent="0.2">
      <c r="A54" s="205"/>
      <c r="B54" s="205"/>
      <c r="C54" s="205"/>
      <c r="D54" s="205"/>
      <c r="E54" s="205"/>
      <c r="F54" s="205"/>
      <c r="G54" s="205"/>
      <c r="H54" s="205"/>
    </row>
    <row r="55" spans="1:8" x14ac:dyDescent="0.2">
      <c r="A55" s="205"/>
      <c r="B55" s="205"/>
      <c r="C55" s="205"/>
      <c r="D55" s="205"/>
      <c r="E55" s="205"/>
      <c r="F55" s="205"/>
      <c r="G55" s="205"/>
      <c r="H55" s="20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6"/>
  <sheetViews>
    <sheetView zoomScaleNormal="100" workbookViewId="0">
      <selection activeCell="I8" sqref="I8"/>
    </sheetView>
  </sheetViews>
  <sheetFormatPr defaultColWidth="11.42578125" defaultRowHeight="15.75" x14ac:dyDescent="0.25"/>
  <cols>
    <col min="1" max="1" width="72.85546875" style="470" bestFit="1" customWidth="1"/>
    <col min="2" max="2" width="18.7109375" style="471" bestFit="1" customWidth="1"/>
    <col min="3" max="8" width="18.7109375" style="471" hidden="1" customWidth="1"/>
    <col min="9" max="9" width="11.85546875" style="622" customWidth="1"/>
    <col min="10" max="10" width="21.5703125" style="488" customWidth="1"/>
    <col min="11" max="11" width="61.140625" style="470" customWidth="1"/>
    <col min="12" max="12" width="17.7109375" style="654" bestFit="1" customWidth="1"/>
    <col min="13" max="16384" width="11.42578125" style="470"/>
  </cols>
  <sheetData>
    <row r="1" spans="1:11" ht="16.5" thickBot="1" x14ac:dyDescent="0.3">
      <c r="B1" s="493" t="s">
        <v>734</v>
      </c>
      <c r="C1" s="493" t="s">
        <v>733</v>
      </c>
      <c r="D1" s="493" t="s">
        <v>729</v>
      </c>
      <c r="E1" s="493" t="s">
        <v>728</v>
      </c>
      <c r="F1" s="493" t="s">
        <v>726</v>
      </c>
      <c r="G1" s="493" t="s">
        <v>724</v>
      </c>
      <c r="H1" s="493" t="s">
        <v>722</v>
      </c>
    </row>
    <row r="2" spans="1:11" ht="16.5" thickBot="1" x14ac:dyDescent="0.3">
      <c r="A2" s="472" t="s">
        <v>593</v>
      </c>
      <c r="B2" s="473">
        <v>38464286.280000001</v>
      </c>
      <c r="C2" s="473"/>
      <c r="D2" s="473">
        <f>38461885.08-19230942.54</f>
        <v>19230942.539999999</v>
      </c>
      <c r="E2" s="473">
        <f>38461885.08-19230942.54</f>
        <v>19230942.539999999</v>
      </c>
      <c r="F2" s="473">
        <f>38461885.08-19230942.54</f>
        <v>19230942.539999999</v>
      </c>
      <c r="G2" s="473">
        <f>38461885.08-19230942.54</f>
        <v>19230942.539999999</v>
      </c>
      <c r="H2" s="473">
        <v>19230942.539999999</v>
      </c>
      <c r="J2" s="871" t="s">
        <v>596</v>
      </c>
      <c r="K2" s="470" t="s">
        <v>567</v>
      </c>
    </row>
    <row r="3" spans="1:11" ht="16.5" thickBot="1" x14ac:dyDescent="0.3">
      <c r="J3" s="871"/>
      <c r="K3" s="470" t="s">
        <v>573</v>
      </c>
    </row>
    <row r="4" spans="1:11" ht="16.5" thickBot="1" x14ac:dyDescent="0.3">
      <c r="A4" s="472" t="s">
        <v>721</v>
      </c>
      <c r="B4" s="473">
        <v>166666666.63</v>
      </c>
      <c r="C4" s="473"/>
      <c r="D4" s="473">
        <v>166666666.63</v>
      </c>
      <c r="E4" s="473">
        <v>166666666.63</v>
      </c>
      <c r="F4" s="473">
        <v>333333331.63</v>
      </c>
      <c r="G4" s="473">
        <v>0</v>
      </c>
      <c r="H4" s="473">
        <v>166666666.64000002</v>
      </c>
      <c r="J4" s="616">
        <f>Calculo!E11</f>
        <v>2.7900004386901855</v>
      </c>
      <c r="K4" s="470" t="s">
        <v>572</v>
      </c>
    </row>
    <row r="5" spans="1:11" ht="16.5" thickBot="1" x14ac:dyDescent="0.3">
      <c r="K5" s="470" t="s">
        <v>599</v>
      </c>
    </row>
    <row r="6" spans="1:11" ht="16.5" thickBot="1" x14ac:dyDescent="0.3">
      <c r="A6" s="472" t="s">
        <v>586</v>
      </c>
      <c r="B6" s="473"/>
      <c r="C6" s="473"/>
      <c r="D6" s="473">
        <v>0</v>
      </c>
      <c r="E6" s="473"/>
      <c r="F6" s="473"/>
      <c r="G6" s="473"/>
      <c r="H6" s="473"/>
      <c r="J6" s="872" t="s">
        <v>597</v>
      </c>
      <c r="K6" s="470" t="s">
        <v>576</v>
      </c>
    </row>
    <row r="7" spans="1:11" ht="16.5" thickBot="1" x14ac:dyDescent="0.3">
      <c r="J7" s="872"/>
      <c r="K7" s="470" t="s">
        <v>568</v>
      </c>
    </row>
    <row r="8" spans="1:11" x14ac:dyDescent="0.25">
      <c r="A8" s="474" t="s">
        <v>587</v>
      </c>
      <c r="B8" s="475"/>
      <c r="C8" s="475"/>
      <c r="D8" s="475"/>
      <c r="E8" s="475">
        <v>203616326.04999971</v>
      </c>
      <c r="F8" s="475"/>
      <c r="G8" s="475">
        <v>612971221.36999989</v>
      </c>
      <c r="H8" s="475"/>
      <c r="J8" s="713">
        <f>Calculo!D308</f>
        <v>0</v>
      </c>
      <c r="K8" s="470" t="s">
        <v>570</v>
      </c>
    </row>
    <row r="9" spans="1:11" ht="16.5" thickBot="1" x14ac:dyDescent="0.3">
      <c r="A9" s="477" t="s">
        <v>588</v>
      </c>
      <c r="B9" s="478">
        <v>427278240.68000001</v>
      </c>
      <c r="C9" s="478"/>
      <c r="D9" s="478">
        <v>235689550.91</v>
      </c>
      <c r="E9" s="478"/>
      <c r="F9" s="478">
        <v>118181752.34</v>
      </c>
      <c r="G9" s="478"/>
      <c r="H9" s="478">
        <v>381994512.10000002</v>
      </c>
      <c r="K9" s="470" t="s">
        <v>569</v>
      </c>
    </row>
    <row r="10" spans="1:11" ht="16.5" thickBot="1" x14ac:dyDescent="0.3">
      <c r="J10" s="873" t="s">
        <v>598</v>
      </c>
      <c r="K10" s="470" t="s">
        <v>571</v>
      </c>
    </row>
    <row r="11" spans="1:11" x14ac:dyDescent="0.25">
      <c r="A11" s="479" t="s">
        <v>591</v>
      </c>
      <c r="B11" s="480"/>
      <c r="C11" s="480"/>
      <c r="D11" s="480">
        <v>247810512.88999999</v>
      </c>
      <c r="E11" s="480"/>
      <c r="F11" s="480"/>
      <c r="G11" s="480">
        <f>832455557.06</f>
        <v>832455557.05999994</v>
      </c>
      <c r="H11" s="480">
        <v>21036885.3899999</v>
      </c>
      <c r="J11" s="873"/>
      <c r="K11" s="470" t="s">
        <v>577</v>
      </c>
    </row>
    <row r="12" spans="1:11" ht="16.5" thickBot="1" x14ac:dyDescent="0.3">
      <c r="A12" s="481" t="s">
        <v>592</v>
      </c>
      <c r="B12" s="482">
        <v>621386072.67999983</v>
      </c>
      <c r="C12" s="482"/>
      <c r="D12" s="482"/>
      <c r="E12" s="482">
        <v>609586393.96000004</v>
      </c>
      <c r="F12" s="482">
        <v>219910598.46000004</v>
      </c>
      <c r="G12" s="482"/>
      <c r="H12" s="482"/>
      <c r="J12" s="616">
        <f>B34-Calculo!E4</f>
        <v>0</v>
      </c>
      <c r="K12" s="470" t="s">
        <v>578</v>
      </c>
    </row>
    <row r="13" spans="1:11" ht="16.5" thickBot="1" x14ac:dyDescent="0.3">
      <c r="K13" s="470" t="s">
        <v>579</v>
      </c>
    </row>
    <row r="14" spans="1:11" x14ac:dyDescent="0.25">
      <c r="A14" s="483" t="s">
        <v>716</v>
      </c>
      <c r="B14" s="480">
        <v>2283682115.5900002</v>
      </c>
      <c r="C14" s="480"/>
      <c r="D14" s="480">
        <v>1341226830.4400001</v>
      </c>
      <c r="E14" s="480">
        <v>2574037975.5500002</v>
      </c>
      <c r="F14" s="480">
        <v>2025462897.97</v>
      </c>
      <c r="G14" s="484">
        <v>2044158342.76</v>
      </c>
      <c r="H14" s="484">
        <v>1862028288.8900001</v>
      </c>
      <c r="J14" s="871" t="s">
        <v>617</v>
      </c>
      <c r="K14" s="470" t="s">
        <v>580</v>
      </c>
    </row>
    <row r="15" spans="1:11" x14ac:dyDescent="0.25">
      <c r="A15" s="485" t="s">
        <v>730</v>
      </c>
      <c r="B15" s="655"/>
      <c r="C15" s="655"/>
      <c r="D15" s="655"/>
      <c r="E15" s="655"/>
      <c r="F15" s="655"/>
      <c r="G15" s="486"/>
      <c r="H15" s="486"/>
      <c r="J15" s="871"/>
      <c r="K15" s="470" t="s">
        <v>581</v>
      </c>
    </row>
    <row r="16" spans="1:11" x14ac:dyDescent="0.25">
      <c r="A16" s="485" t="s">
        <v>731</v>
      </c>
      <c r="B16" s="655">
        <f>B14-B15</f>
        <v>2283682115.5900002</v>
      </c>
      <c r="C16" s="655"/>
      <c r="D16" s="655">
        <f>D14-D15</f>
        <v>1341226830.4400001</v>
      </c>
      <c r="E16" s="655">
        <f>E14-E15</f>
        <v>2574037975.5500002</v>
      </c>
      <c r="F16" s="655">
        <f>F14-F15</f>
        <v>2025462897.97</v>
      </c>
      <c r="G16" s="486">
        <f>G14-G15</f>
        <v>2044158342.76</v>
      </c>
      <c r="H16" s="486">
        <v>1862028288.8900001</v>
      </c>
      <c r="J16" s="487">
        <f>Hoja1!I53-'Hoja2 - F'!N122-'Hoja4 - G'!N128-'Hoja3 - H'!O137-'Hoja5 - I'!N76-'Hoja5 (2)'!O41-'Hoja 6 - J'!N128</f>
        <v>0</v>
      </c>
      <c r="K16" s="470" t="s">
        <v>582</v>
      </c>
    </row>
    <row r="17" spans="1:11" x14ac:dyDescent="0.25">
      <c r="A17" s="485"/>
      <c r="B17" s="655"/>
      <c r="C17" s="655"/>
      <c r="D17" s="655"/>
      <c r="E17" s="655"/>
      <c r="F17" s="655"/>
      <c r="G17" s="486"/>
      <c r="H17" s="486"/>
      <c r="J17" s="488" t="s">
        <v>621</v>
      </c>
      <c r="K17" s="470" t="s">
        <v>583</v>
      </c>
    </row>
    <row r="18" spans="1:11" ht="16.5" thickBot="1" x14ac:dyDescent="0.3">
      <c r="A18" s="489" t="s">
        <v>717</v>
      </c>
      <c r="B18" s="482">
        <v>2355345951.5999999</v>
      </c>
      <c r="C18" s="482"/>
      <c r="D18" s="482">
        <v>2005558682.3299999</v>
      </c>
      <c r="E18" s="482">
        <v>1990948852.23</v>
      </c>
      <c r="F18" s="482">
        <v>2283681886.1799998</v>
      </c>
      <c r="G18" s="490">
        <v>2336971231.2399998</v>
      </c>
      <c r="H18" s="490">
        <v>2503742987.4000001</v>
      </c>
      <c r="J18" s="476"/>
      <c r="K18" s="470" t="s">
        <v>584</v>
      </c>
    </row>
    <row r="19" spans="1:11" x14ac:dyDescent="0.25">
      <c r="J19" s="488" t="s">
        <v>545</v>
      </c>
      <c r="K19" s="470" t="s">
        <v>585</v>
      </c>
    </row>
    <row r="20" spans="1:11" x14ac:dyDescent="0.25">
      <c r="A20" s="470" t="s">
        <v>611</v>
      </c>
      <c r="B20" s="491"/>
      <c r="C20" s="491"/>
      <c r="D20" s="491"/>
      <c r="E20" s="491"/>
      <c r="F20" s="491"/>
      <c r="G20" s="491"/>
      <c r="H20" s="491"/>
      <c r="J20" s="492" t="b">
        <f>(B24+B28+B30+B32)=B34</f>
        <v>1</v>
      </c>
      <c r="K20" s="470" t="s">
        <v>624</v>
      </c>
    </row>
    <row r="21" spans="1:11" x14ac:dyDescent="0.25">
      <c r="A21" s="470" t="s">
        <v>612</v>
      </c>
      <c r="B21" s="491"/>
      <c r="C21" s="491"/>
      <c r="D21" s="491"/>
      <c r="E21" s="491"/>
      <c r="F21" s="491"/>
      <c r="G21" s="491"/>
      <c r="H21" s="491"/>
    </row>
    <row r="22" spans="1:11" x14ac:dyDescent="0.25">
      <c r="J22" s="488" t="s">
        <v>723</v>
      </c>
    </row>
    <row r="23" spans="1:11" x14ac:dyDescent="0.25">
      <c r="B23" s="493"/>
      <c r="C23" s="493"/>
      <c r="D23" s="493"/>
      <c r="E23" s="493"/>
      <c r="F23" s="493"/>
      <c r="G23" s="493"/>
      <c r="H23" s="493" t="s">
        <v>626</v>
      </c>
      <c r="I23" s="622" t="s">
        <v>4</v>
      </c>
      <c r="J23" s="615">
        <f>(B175+B176+B177)-B124</f>
        <v>0</v>
      </c>
    </row>
    <row r="24" spans="1:11" ht="17.25" x14ac:dyDescent="0.25">
      <c r="A24" s="494" t="s">
        <v>234</v>
      </c>
      <c r="B24" s="650">
        <v>250553474.93999958</v>
      </c>
      <c r="C24" s="650"/>
      <c r="D24" s="650">
        <v>241641602.6400001</v>
      </c>
      <c r="E24" s="650">
        <v>242717877.71000004</v>
      </c>
      <c r="F24" s="650">
        <v>240871557.41999984</v>
      </c>
      <c r="G24" s="646">
        <v>235691431.5400002</v>
      </c>
      <c r="H24" s="529">
        <v>230372014.89000002</v>
      </c>
      <c r="I24" s="622">
        <v>41</v>
      </c>
      <c r="J24" s="617"/>
    </row>
    <row r="25" spans="1:11" x14ac:dyDescent="0.25">
      <c r="A25" s="495"/>
      <c r="H25" s="496"/>
      <c r="J25" s="617"/>
    </row>
    <row r="26" spans="1:11" ht="17.25" x14ac:dyDescent="0.25">
      <c r="A26" s="495" t="s">
        <v>235</v>
      </c>
      <c r="B26" s="650">
        <v>42156339.550000012</v>
      </c>
      <c r="C26" s="650"/>
      <c r="D26" s="650">
        <v>30435756.599999994</v>
      </c>
      <c r="E26" s="650">
        <v>28784722.919999987</v>
      </c>
      <c r="F26" s="650">
        <v>31867552.180000007</v>
      </c>
      <c r="G26" s="647">
        <v>32428291.729999989</v>
      </c>
      <c r="H26" s="530">
        <v>29332474.879999999</v>
      </c>
      <c r="I26" s="622">
        <v>423</v>
      </c>
      <c r="J26" s="617"/>
    </row>
    <row r="27" spans="1:11" x14ac:dyDescent="0.25">
      <c r="A27" s="495"/>
      <c r="H27" s="496"/>
      <c r="J27" s="618"/>
    </row>
    <row r="28" spans="1:11" ht="17.25" x14ac:dyDescent="0.25">
      <c r="A28" s="714" t="s">
        <v>622</v>
      </c>
      <c r="B28" s="650">
        <v>49927476.849999964</v>
      </c>
      <c r="C28" s="650"/>
      <c r="D28" s="650">
        <v>34767946.180000007</v>
      </c>
      <c r="E28" s="650">
        <v>34962004.920000017</v>
      </c>
      <c r="F28" s="650">
        <v>35648568.929999977</v>
      </c>
      <c r="G28" s="646">
        <v>36668721.930000007</v>
      </c>
      <c r="H28" s="529">
        <v>33823151.780000001</v>
      </c>
      <c r="I28" s="622">
        <v>42</v>
      </c>
      <c r="J28" s="618"/>
    </row>
    <row r="29" spans="1:11" x14ac:dyDescent="0.25">
      <c r="A29" s="495"/>
      <c r="H29" s="496"/>
      <c r="J29" s="618"/>
    </row>
    <row r="30" spans="1:11" ht="17.25" x14ac:dyDescent="0.25">
      <c r="A30" s="714" t="s">
        <v>623</v>
      </c>
      <c r="B30" s="650">
        <v>59236982.359999955</v>
      </c>
      <c r="C30" s="650"/>
      <c r="D30" s="650">
        <v>25527356.289999992</v>
      </c>
      <c r="E30" s="650">
        <v>27298968.909999996</v>
      </c>
      <c r="F30" s="650">
        <v>22530247.689999998</v>
      </c>
      <c r="G30" s="646">
        <v>23138881.380000025</v>
      </c>
      <c r="H30" s="529">
        <v>21181897.450000003</v>
      </c>
      <c r="I30" s="622">
        <v>43</v>
      </c>
      <c r="J30" s="617"/>
    </row>
    <row r="31" spans="1:11" x14ac:dyDescent="0.25">
      <c r="A31" s="495"/>
      <c r="H31" s="496"/>
      <c r="J31" s="617"/>
    </row>
    <row r="32" spans="1:11" ht="17.25" x14ac:dyDescent="0.25">
      <c r="A32" s="495" t="s">
        <v>720</v>
      </c>
      <c r="B32" s="656">
        <v>-1.19</v>
      </c>
      <c r="C32" s="656"/>
      <c r="D32" s="656">
        <v>0</v>
      </c>
      <c r="E32" s="656">
        <v>0</v>
      </c>
      <c r="F32" s="656">
        <v>0</v>
      </c>
      <c r="G32" s="648">
        <v>0</v>
      </c>
      <c r="H32" s="496">
        <v>0</v>
      </c>
      <c r="I32" s="622">
        <v>44</v>
      </c>
      <c r="J32" s="617"/>
    </row>
    <row r="33" spans="1:10" x14ac:dyDescent="0.25">
      <c r="A33" s="495"/>
      <c r="H33" s="496"/>
      <c r="J33" s="617"/>
    </row>
    <row r="34" spans="1:10" ht="17.25" x14ac:dyDescent="0.25">
      <c r="A34" s="494" t="s">
        <v>236</v>
      </c>
      <c r="B34" s="650">
        <v>359717932.96000004</v>
      </c>
      <c r="C34" s="650"/>
      <c r="D34" s="650">
        <v>301936905.11000013</v>
      </c>
      <c r="E34" s="650">
        <v>304978851.53999996</v>
      </c>
      <c r="F34" s="650">
        <v>299050374.0400002</v>
      </c>
      <c r="G34" s="649">
        <v>295499034.8499999</v>
      </c>
      <c r="H34" s="531">
        <v>285377064.12</v>
      </c>
      <c r="I34" s="622">
        <v>4</v>
      </c>
      <c r="J34" s="617"/>
    </row>
    <row r="35" spans="1:10" x14ac:dyDescent="0.25">
      <c r="A35" s="495"/>
      <c r="H35" s="496"/>
      <c r="J35" s="617"/>
    </row>
    <row r="36" spans="1:10" ht="17.25" x14ac:dyDescent="0.25">
      <c r="A36" s="525" t="s">
        <v>98</v>
      </c>
      <c r="B36" s="650">
        <v>41456030.609999955</v>
      </c>
      <c r="C36" s="650"/>
      <c r="D36" s="650">
        <v>44705370.600000024</v>
      </c>
      <c r="E36" s="650">
        <v>256075911.75999999</v>
      </c>
      <c r="F36" s="650">
        <v>47745461.219999969</v>
      </c>
      <c r="G36" s="646">
        <v>39794952.960000008</v>
      </c>
      <c r="H36" s="529">
        <v>37782579.219999999</v>
      </c>
      <c r="I36" s="623">
        <v>51</v>
      </c>
      <c r="J36" s="617"/>
    </row>
    <row r="37" spans="1:10" ht="17.25" x14ac:dyDescent="0.25">
      <c r="A37" s="498" t="s">
        <v>237</v>
      </c>
      <c r="B37" s="650">
        <v>5828066.8099999949</v>
      </c>
      <c r="C37" s="650"/>
      <c r="D37" s="650">
        <v>5325947.3999999985</v>
      </c>
      <c r="E37" s="650">
        <v>6033507.3400000036</v>
      </c>
      <c r="F37" s="650">
        <v>5881459.3099999949</v>
      </c>
      <c r="G37" s="650">
        <v>6034032.7200000063</v>
      </c>
      <c r="H37" s="532">
        <v>5446168.8699999973</v>
      </c>
      <c r="I37" s="624" t="s">
        <v>633</v>
      </c>
      <c r="J37" s="617"/>
    </row>
    <row r="38" spans="1:10" ht="17.25" x14ac:dyDescent="0.25">
      <c r="A38" s="499" t="s">
        <v>238</v>
      </c>
      <c r="B38" s="650">
        <v>962.13999999999942</v>
      </c>
      <c r="C38" s="650"/>
      <c r="D38" s="650">
        <v>962.14000000000124</v>
      </c>
      <c r="E38" s="650">
        <v>931.09999999999945</v>
      </c>
      <c r="F38" s="650">
        <v>962.14000000000033</v>
      </c>
      <c r="G38" s="651">
        <v>962.13999999999942</v>
      </c>
      <c r="H38" s="533">
        <v>931.10000000000036</v>
      </c>
      <c r="I38" s="625" t="s">
        <v>634</v>
      </c>
      <c r="J38" s="617"/>
    </row>
    <row r="39" spans="1:10" x14ac:dyDescent="0.25">
      <c r="A39" s="498"/>
      <c r="B39" s="638"/>
      <c r="C39" s="638"/>
      <c r="D39" s="638"/>
      <c r="E39" s="638"/>
      <c r="F39" s="638"/>
      <c r="G39" s="638"/>
      <c r="H39" s="500"/>
      <c r="J39" s="617"/>
    </row>
    <row r="40" spans="1:10" ht="17.25" x14ac:dyDescent="0.25">
      <c r="A40" s="501" t="s">
        <v>620</v>
      </c>
      <c r="B40" s="719">
        <v>16691551.030000001</v>
      </c>
      <c r="C40" s="657"/>
      <c r="D40" s="657">
        <v>18763570.400000006</v>
      </c>
      <c r="E40" s="657">
        <v>17233035.260000005</v>
      </c>
      <c r="F40" s="657">
        <v>18178878.620000005</v>
      </c>
      <c r="G40" s="647">
        <v>17528480.549999997</v>
      </c>
      <c r="H40" s="530">
        <v>17051736.379999995</v>
      </c>
      <c r="I40" s="626" t="s">
        <v>635</v>
      </c>
      <c r="J40" s="617"/>
    </row>
    <row r="41" spans="1:10" x14ac:dyDescent="0.25">
      <c r="A41" s="498"/>
      <c r="B41" s="639"/>
      <c r="C41" s="639"/>
      <c r="D41" s="639"/>
      <c r="E41" s="639"/>
      <c r="F41" s="639"/>
      <c r="G41" s="639"/>
      <c r="H41" s="502"/>
      <c r="J41" s="617"/>
    </row>
    <row r="42" spans="1:10" ht="17.25" x14ac:dyDescent="0.25">
      <c r="A42" s="498" t="s">
        <v>239</v>
      </c>
      <c r="B42" s="719">
        <v>1941875.9599999972</v>
      </c>
      <c r="C42" s="658"/>
      <c r="D42" s="658">
        <v>1978386.5199999996</v>
      </c>
      <c r="E42" s="658">
        <v>1930644.9000000004</v>
      </c>
      <c r="F42" s="658">
        <v>2000638.0099999998</v>
      </c>
      <c r="G42" s="651">
        <v>0</v>
      </c>
      <c r="H42" s="533">
        <v>1956976.5</v>
      </c>
      <c r="I42" s="627" t="s">
        <v>713</v>
      </c>
      <c r="J42" s="617"/>
    </row>
    <row r="43" spans="1:10" ht="17.25" x14ac:dyDescent="0.25">
      <c r="A43" s="498" t="s">
        <v>240</v>
      </c>
      <c r="B43" s="719">
        <v>14202777.719999999</v>
      </c>
      <c r="C43" s="658"/>
      <c r="D43" s="658">
        <v>15874305.410000011</v>
      </c>
      <c r="E43" s="658">
        <v>17124999.799999997</v>
      </c>
      <c r="F43" s="658">
        <f>18947222.16-1805</f>
        <v>18945417.16</v>
      </c>
      <c r="G43" s="651">
        <v>13504860.989999995</v>
      </c>
      <c r="H43" s="533">
        <v>10687500.100000001</v>
      </c>
      <c r="I43" s="627" t="s">
        <v>636</v>
      </c>
      <c r="J43" s="617"/>
    </row>
    <row r="44" spans="1:10" x14ac:dyDescent="0.25">
      <c r="A44" s="498"/>
      <c r="B44" s="639"/>
      <c r="C44" s="639"/>
      <c r="D44" s="639"/>
      <c r="E44" s="639"/>
      <c r="F44" s="639"/>
      <c r="G44" s="639"/>
      <c r="H44" s="502"/>
      <c r="J44" s="617"/>
    </row>
    <row r="45" spans="1:10" ht="17.25" x14ac:dyDescent="0.25">
      <c r="A45" s="498" t="s">
        <v>625</v>
      </c>
      <c r="B45" s="719">
        <v>293139.04999999981</v>
      </c>
      <c r="C45" s="659"/>
      <c r="D45" s="659">
        <v>293139.04999999981</v>
      </c>
      <c r="E45" s="659">
        <v>293139.05000000028</v>
      </c>
      <c r="F45" s="659">
        <v>293139.04999999981</v>
      </c>
      <c r="G45" s="650">
        <v>293139.05000000005</v>
      </c>
      <c r="H45" s="620">
        <v>293139.03000000003</v>
      </c>
      <c r="I45" s="628" t="s">
        <v>637</v>
      </c>
      <c r="J45" s="621"/>
    </row>
    <row r="46" spans="1:10" ht="17.25" x14ac:dyDescent="0.25">
      <c r="A46" s="504" t="s">
        <v>241</v>
      </c>
      <c r="B46" s="719">
        <v>293139.04999999981</v>
      </c>
      <c r="C46" s="659"/>
      <c r="D46" s="659">
        <v>293139.04999999981</v>
      </c>
      <c r="E46" s="659">
        <v>293139.05000000028</v>
      </c>
      <c r="F46" s="659">
        <v>293139.04999999981</v>
      </c>
      <c r="G46" s="650">
        <v>293139.05000000005</v>
      </c>
      <c r="H46" s="620">
        <v>293139.03000000003</v>
      </c>
      <c r="I46" s="628" t="s">
        <v>637</v>
      </c>
      <c r="J46" s="617"/>
    </row>
    <row r="47" spans="1:10" x14ac:dyDescent="0.25">
      <c r="A47" s="495"/>
      <c r="H47" s="496"/>
      <c r="J47" s="617"/>
    </row>
    <row r="48" spans="1:10" ht="17.25" x14ac:dyDescent="0.25">
      <c r="A48" s="497" t="s">
        <v>242</v>
      </c>
      <c r="B48" s="719">
        <v>1242165.4900000002</v>
      </c>
      <c r="C48" s="660"/>
      <c r="D48" s="660">
        <v>1422545.8900000006</v>
      </c>
      <c r="E48" s="660">
        <v>1356065.25</v>
      </c>
      <c r="F48" s="660">
        <v>1465344.6500000004</v>
      </c>
      <c r="G48" s="646">
        <v>2147360.96</v>
      </c>
      <c r="H48" s="620">
        <v>1153411.8599999994</v>
      </c>
      <c r="I48" s="622">
        <v>52</v>
      </c>
      <c r="J48" s="617"/>
    </row>
    <row r="49" spans="1:10" ht="17.25" x14ac:dyDescent="0.25">
      <c r="A49" s="498" t="s">
        <v>718</v>
      </c>
      <c r="B49" s="719">
        <v>5828066.8099999949</v>
      </c>
      <c r="C49" s="659"/>
      <c r="D49" s="659">
        <v>5325947.3999999985</v>
      </c>
      <c r="E49" s="659">
        <v>6033507.3400000036</v>
      </c>
      <c r="F49" s="659">
        <v>5881459.3099999949</v>
      </c>
      <c r="G49" s="650">
        <v>6034032.7200000063</v>
      </c>
      <c r="H49" s="620">
        <v>5446168.8699999973</v>
      </c>
      <c r="I49" s="629" t="s">
        <v>633</v>
      </c>
      <c r="J49" s="617"/>
    </row>
    <row r="50" spans="1:10" ht="17.25" x14ac:dyDescent="0.25">
      <c r="A50" s="498" t="s">
        <v>243</v>
      </c>
      <c r="B50" s="719">
        <v>1442572.25</v>
      </c>
      <c r="C50" s="659"/>
      <c r="D50" s="659">
        <v>1447811.0599999987</v>
      </c>
      <c r="E50" s="659">
        <v>1403333.3399999999</v>
      </c>
      <c r="F50" s="659">
        <v>1446406.6600000001</v>
      </c>
      <c r="G50" s="650">
        <v>1448995.8100000005</v>
      </c>
      <c r="H50" s="620">
        <v>1406371.2800000003</v>
      </c>
      <c r="I50" s="628" t="s">
        <v>631</v>
      </c>
      <c r="J50" s="617"/>
    </row>
    <row r="51" spans="1:10" ht="17.25" x14ac:dyDescent="0.25">
      <c r="A51" s="498" t="s">
        <v>244</v>
      </c>
      <c r="B51" s="719">
        <v>1055085.6500000004</v>
      </c>
      <c r="C51" s="659"/>
      <c r="D51" s="659">
        <v>1021248.6200000001</v>
      </c>
      <c r="E51" s="659">
        <v>972375.5</v>
      </c>
      <c r="F51" s="659">
        <v>996755.26999999955</v>
      </c>
      <c r="G51" s="650">
        <v>984481.70000000019</v>
      </c>
      <c r="H51" s="620">
        <v>939755.96</v>
      </c>
      <c r="I51" s="628" t="s">
        <v>632</v>
      </c>
      <c r="J51" s="617"/>
    </row>
    <row r="52" spans="1:10" ht="17.25" x14ac:dyDescent="0.25">
      <c r="A52" s="498" t="s">
        <v>235</v>
      </c>
      <c r="B52" s="719">
        <v>1242165.1300000008</v>
      </c>
      <c r="C52" s="650"/>
      <c r="D52" s="650">
        <v>1419010.8899999987</v>
      </c>
      <c r="E52" s="650">
        <v>1353789.0500000007</v>
      </c>
      <c r="F52" s="650">
        <v>1455170.6500000004</v>
      </c>
      <c r="G52" s="647">
        <v>2308413.1799999997</v>
      </c>
      <c r="H52" s="620">
        <v>991102.8599999994</v>
      </c>
      <c r="I52" s="622">
        <v>523</v>
      </c>
      <c r="J52" s="617"/>
    </row>
    <row r="53" spans="1:10" x14ac:dyDescent="0.25">
      <c r="A53" s="498"/>
      <c r="B53" s="639"/>
      <c r="C53" s="639"/>
      <c r="D53" s="639"/>
      <c r="E53" s="639"/>
      <c r="F53" s="639"/>
      <c r="G53" s="639"/>
      <c r="H53" s="502"/>
      <c r="J53" s="617"/>
    </row>
    <row r="54" spans="1:10" ht="17.25" x14ac:dyDescent="0.25">
      <c r="A54" s="498" t="s">
        <v>245</v>
      </c>
      <c r="B54" s="719">
        <v>0.36000000000058208</v>
      </c>
      <c r="C54" s="657"/>
      <c r="D54" s="657">
        <v>3535</v>
      </c>
      <c r="E54" s="657">
        <v>2276.2000000000007</v>
      </c>
      <c r="F54" s="657">
        <v>10174</v>
      </c>
      <c r="G54" s="647">
        <v>0</v>
      </c>
      <c r="H54" s="530">
        <v>162309</v>
      </c>
      <c r="I54" s="626" t="s">
        <v>638</v>
      </c>
      <c r="J54" s="617"/>
    </row>
    <row r="55" spans="1:10" ht="17.25" x14ac:dyDescent="0.25">
      <c r="A55" s="498" t="s">
        <v>246</v>
      </c>
      <c r="B55" s="719">
        <v>0.36000000000058208</v>
      </c>
      <c r="C55" s="658"/>
      <c r="D55" s="658">
        <v>3535</v>
      </c>
      <c r="E55" s="658">
        <v>2276.2000000000007</v>
      </c>
      <c r="F55" s="658">
        <v>10174</v>
      </c>
      <c r="G55" s="651"/>
      <c r="H55" s="533">
        <v>162309</v>
      </c>
      <c r="I55" s="625">
        <v>529.99</v>
      </c>
      <c r="J55" s="617"/>
    </row>
    <row r="56" spans="1:10" x14ac:dyDescent="0.25">
      <c r="A56" s="495"/>
      <c r="H56" s="496"/>
      <c r="J56" s="617"/>
    </row>
    <row r="57" spans="1:10" ht="17.25" x14ac:dyDescent="0.25">
      <c r="A57" s="494" t="s">
        <v>247</v>
      </c>
      <c r="B57" s="719">
        <v>210500939.28999996</v>
      </c>
      <c r="C57" s="660"/>
      <c r="D57" s="660">
        <v>177883970.36000013</v>
      </c>
      <c r="E57" s="660">
        <v>166185983.2099998</v>
      </c>
      <c r="F57" s="660">
        <v>164792518.44000006</v>
      </c>
      <c r="G57" s="646">
        <v>175098703.22000003</v>
      </c>
      <c r="H57" s="529">
        <v>162537248.31</v>
      </c>
      <c r="I57" s="630" t="s">
        <v>639</v>
      </c>
      <c r="J57" s="617"/>
    </row>
    <row r="58" spans="1:10" ht="17.25" x14ac:dyDescent="0.25">
      <c r="A58" s="495" t="s">
        <v>248</v>
      </c>
      <c r="B58" s="719">
        <v>60896204.969999909</v>
      </c>
      <c r="C58" s="659"/>
      <c r="D58" s="659">
        <v>61262963.630000055</v>
      </c>
      <c r="E58" s="659">
        <v>61005343.879999995</v>
      </c>
      <c r="F58" s="659">
        <v>60278738.639999986</v>
      </c>
      <c r="G58" s="650">
        <v>60277728.270000041</v>
      </c>
      <c r="H58" s="532">
        <v>57736116.799999997</v>
      </c>
      <c r="I58" s="631" t="s">
        <v>640</v>
      </c>
      <c r="J58" s="617"/>
    </row>
    <row r="59" spans="1:10" ht="17.25" x14ac:dyDescent="0.25">
      <c r="A59" s="495" t="s">
        <v>249</v>
      </c>
      <c r="B59" s="719">
        <v>41547692.019999981</v>
      </c>
      <c r="C59" s="659"/>
      <c r="D59" s="659">
        <v>41533750.159999967</v>
      </c>
      <c r="E59" s="659">
        <v>42250178.01000005</v>
      </c>
      <c r="F59" s="659">
        <v>42980457.620000005</v>
      </c>
      <c r="G59" s="650">
        <v>41562183.49999997</v>
      </c>
      <c r="H59" s="532">
        <v>41377639.129999995</v>
      </c>
      <c r="I59" s="631" t="s">
        <v>641</v>
      </c>
      <c r="J59" s="617"/>
    </row>
    <row r="60" spans="1:10" x14ac:dyDescent="0.25">
      <c r="A60" s="505" t="s">
        <v>616</v>
      </c>
      <c r="B60" s="640"/>
      <c r="C60" s="640"/>
      <c r="D60" s="640"/>
      <c r="E60" s="640"/>
      <c r="F60" s="640"/>
      <c r="G60" s="640"/>
      <c r="H60" s="506"/>
      <c r="J60" s="617"/>
    </row>
    <row r="61" spans="1:10" ht="17.25" x14ac:dyDescent="0.25">
      <c r="A61" s="495" t="s">
        <v>250</v>
      </c>
      <c r="B61" s="719">
        <v>94165.550000000047</v>
      </c>
      <c r="C61" s="658"/>
      <c r="D61" s="658">
        <v>66117.040000000037</v>
      </c>
      <c r="E61" s="658">
        <v>0</v>
      </c>
      <c r="F61" s="658">
        <v>69466.660000000033</v>
      </c>
      <c r="G61" s="651">
        <v>116810.27999999991</v>
      </c>
      <c r="H61" s="533">
        <v>121301.94000000006</v>
      </c>
      <c r="I61" s="625" t="s">
        <v>642</v>
      </c>
      <c r="J61" s="617"/>
    </row>
    <row r="62" spans="1:10" x14ac:dyDescent="0.25">
      <c r="A62" s="505"/>
      <c r="B62" s="640"/>
      <c r="C62" s="640"/>
      <c r="D62" s="640"/>
      <c r="E62" s="640"/>
      <c r="F62" s="640"/>
      <c r="G62" s="640"/>
      <c r="H62" s="506"/>
      <c r="J62" s="617"/>
    </row>
    <row r="63" spans="1:10" ht="17.25" x14ac:dyDescent="0.25">
      <c r="A63" s="495" t="s">
        <v>251</v>
      </c>
      <c r="B63" s="719">
        <v>490000</v>
      </c>
      <c r="C63" s="658"/>
      <c r="D63" s="658">
        <v>245000</v>
      </c>
      <c r="E63" s="658">
        <v>440000</v>
      </c>
      <c r="F63" s="658">
        <v>490000</v>
      </c>
      <c r="G63" s="651">
        <v>245000</v>
      </c>
      <c r="H63" s="533">
        <v>245000</v>
      </c>
      <c r="I63" s="625" t="s">
        <v>643</v>
      </c>
      <c r="J63" s="617"/>
    </row>
    <row r="64" spans="1:10" ht="17.25" x14ac:dyDescent="0.25">
      <c r="A64" s="495" t="s">
        <v>74</v>
      </c>
      <c r="B64" s="719">
        <v>1094940.790000001</v>
      </c>
      <c r="C64" s="658"/>
      <c r="D64" s="658">
        <v>1174402.4900000002</v>
      </c>
      <c r="E64" s="658">
        <v>1129591.21</v>
      </c>
      <c r="F64" s="658">
        <v>760991.23</v>
      </c>
      <c r="G64" s="651">
        <v>834538.89000000013</v>
      </c>
      <c r="H64" s="533">
        <v>452671.12999999989</v>
      </c>
      <c r="I64" s="625" t="s">
        <v>644</v>
      </c>
      <c r="J64" s="617"/>
    </row>
    <row r="65" spans="1:10" ht="17.25" x14ac:dyDescent="0.25">
      <c r="A65" s="495" t="s">
        <v>252</v>
      </c>
      <c r="B65" s="719">
        <v>12916001.980000019</v>
      </c>
      <c r="C65" s="658"/>
      <c r="D65" s="658">
        <v>18718272.889999986</v>
      </c>
      <c r="E65" s="658">
        <v>18671988.819999993</v>
      </c>
      <c r="F65" s="658">
        <v>18597501.51000002</v>
      </c>
      <c r="G65" s="651">
        <v>18515307.409999996</v>
      </c>
      <c r="H65" s="533">
        <v>17936106.730000004</v>
      </c>
      <c r="I65" s="625" t="s">
        <v>645</v>
      </c>
      <c r="J65" s="617"/>
    </row>
    <row r="66" spans="1:10" ht="17.25" x14ac:dyDescent="0.25">
      <c r="A66" s="495" t="s">
        <v>253</v>
      </c>
      <c r="B66" s="719">
        <v>975892.17000000179</v>
      </c>
      <c r="C66" s="658"/>
      <c r="D66" s="658">
        <v>2169299.3000000007</v>
      </c>
      <c r="E66" s="658">
        <v>3232159.629999999</v>
      </c>
      <c r="F66" s="658">
        <v>2504126.41</v>
      </c>
      <c r="G66" s="651">
        <v>4763999.0200000033</v>
      </c>
      <c r="H66" s="533">
        <v>3216149.3699999973</v>
      </c>
      <c r="I66" s="625" t="s">
        <v>646</v>
      </c>
      <c r="J66" s="617"/>
    </row>
    <row r="67" spans="1:10" ht="17.25" x14ac:dyDescent="0.25">
      <c r="A67" s="505" t="s">
        <v>613</v>
      </c>
      <c r="B67" s="719">
        <v>3271689.92</v>
      </c>
      <c r="C67" s="658"/>
      <c r="D67" s="658">
        <v>383000</v>
      </c>
      <c r="E67" s="658">
        <v>0</v>
      </c>
      <c r="F67" s="658">
        <v>0</v>
      </c>
      <c r="G67" s="651">
        <v>0</v>
      </c>
      <c r="H67" s="533">
        <v>0</v>
      </c>
      <c r="I67" s="625" t="s">
        <v>647</v>
      </c>
      <c r="J67" s="617"/>
    </row>
    <row r="68" spans="1:10" ht="17.25" x14ac:dyDescent="0.25">
      <c r="A68" s="505" t="s">
        <v>614</v>
      </c>
      <c r="B68" s="719">
        <v>3196689.92</v>
      </c>
      <c r="C68" s="659"/>
      <c r="D68" s="659">
        <v>265000</v>
      </c>
      <c r="E68" s="659">
        <v>0</v>
      </c>
      <c r="F68" s="659">
        <v>0</v>
      </c>
      <c r="G68" s="650">
        <v>0</v>
      </c>
      <c r="H68" s="532">
        <v>0</v>
      </c>
      <c r="I68" s="631" t="s">
        <v>648</v>
      </c>
      <c r="J68" s="617"/>
    </row>
    <row r="69" spans="1:10" ht="17.25" x14ac:dyDescent="0.25">
      <c r="A69" s="505" t="s">
        <v>542</v>
      </c>
      <c r="B69" s="719">
        <v>0</v>
      </c>
      <c r="C69" s="658"/>
      <c r="D69" s="658">
        <v>0</v>
      </c>
      <c r="E69" s="658">
        <v>0</v>
      </c>
      <c r="F69" s="658">
        <v>0</v>
      </c>
      <c r="G69" s="651">
        <v>0</v>
      </c>
      <c r="H69" s="467">
        <v>1416</v>
      </c>
      <c r="I69" s="622">
        <v>531.09</v>
      </c>
      <c r="J69" s="617"/>
    </row>
    <row r="70" spans="1:10" ht="17.25" x14ac:dyDescent="0.25">
      <c r="A70" s="495" t="s">
        <v>254</v>
      </c>
      <c r="B70" s="719">
        <v>25932479.989999995</v>
      </c>
      <c r="C70" s="658"/>
      <c r="D70" s="658">
        <v>2674401.9000000022</v>
      </c>
      <c r="E70" s="658">
        <v>1863941.3200000003</v>
      </c>
      <c r="F70" s="658">
        <v>686329.79999999702</v>
      </c>
      <c r="G70" s="651">
        <v>7396282.6500000022</v>
      </c>
      <c r="H70" s="533">
        <v>635615.68999999762</v>
      </c>
      <c r="I70" s="625" t="s">
        <v>649</v>
      </c>
      <c r="J70" s="617"/>
    </row>
    <row r="71" spans="1:10" ht="17.25" x14ac:dyDescent="0.25">
      <c r="A71" s="495" t="s">
        <v>255</v>
      </c>
      <c r="B71" s="719">
        <v>614724.30999999959</v>
      </c>
      <c r="C71" s="658"/>
      <c r="D71" s="658">
        <v>133703.41000000015</v>
      </c>
      <c r="E71" s="658">
        <v>183252.66999999993</v>
      </c>
      <c r="F71" s="658">
        <v>82599.219999999972</v>
      </c>
      <c r="G71" s="651">
        <v>265523.72000000009</v>
      </c>
      <c r="H71" s="533">
        <v>128704.54999999993</v>
      </c>
      <c r="I71" s="625" t="s">
        <v>650</v>
      </c>
      <c r="J71" s="617"/>
    </row>
    <row r="72" spans="1:10" ht="17.25" x14ac:dyDescent="0.25">
      <c r="A72" s="507" t="s">
        <v>558</v>
      </c>
      <c r="B72" s="719">
        <v>0</v>
      </c>
      <c r="C72" s="658"/>
      <c r="D72" s="658">
        <v>0</v>
      </c>
      <c r="E72" s="658">
        <v>20650</v>
      </c>
      <c r="F72" s="658">
        <v>13882</v>
      </c>
      <c r="G72" s="651">
        <v>138052.40000000008</v>
      </c>
      <c r="H72" s="533">
        <v>22561.599999999977</v>
      </c>
      <c r="I72" s="625" t="s">
        <v>715</v>
      </c>
      <c r="J72" s="617"/>
    </row>
    <row r="73" spans="1:10" x14ac:dyDescent="0.25">
      <c r="A73" s="495"/>
      <c r="H73" s="496"/>
      <c r="J73" s="617"/>
    </row>
    <row r="74" spans="1:10" ht="17.25" x14ac:dyDescent="0.25">
      <c r="A74" s="505" t="s">
        <v>540</v>
      </c>
      <c r="B74" s="719">
        <v>69500</v>
      </c>
      <c r="C74" s="658"/>
      <c r="D74" s="658">
        <v>286620.5</v>
      </c>
      <c r="E74" s="658">
        <v>668290.62000000011</v>
      </c>
      <c r="F74" s="658">
        <v>0</v>
      </c>
      <c r="G74" s="651">
        <v>561738.80000000075</v>
      </c>
      <c r="H74" s="533">
        <v>1684790</v>
      </c>
      <c r="I74" s="625" t="s">
        <v>651</v>
      </c>
      <c r="J74" s="617"/>
    </row>
    <row r="75" spans="1:10" ht="17.25" x14ac:dyDescent="0.25">
      <c r="A75" s="505" t="s">
        <v>561</v>
      </c>
      <c r="B75" s="719">
        <v>69500</v>
      </c>
      <c r="C75" s="659"/>
      <c r="D75" s="659">
        <v>286620.5</v>
      </c>
      <c r="E75" s="659">
        <v>668290.62000000011</v>
      </c>
      <c r="F75" s="659">
        <v>0</v>
      </c>
      <c r="G75" s="650">
        <v>561738.80000000075</v>
      </c>
      <c r="H75" s="532">
        <v>1684790</v>
      </c>
      <c r="I75" s="631" t="s">
        <v>652</v>
      </c>
      <c r="J75" s="617"/>
    </row>
    <row r="76" spans="1:10" ht="17.25" x14ac:dyDescent="0.25">
      <c r="A76" s="505" t="s">
        <v>654</v>
      </c>
      <c r="B76" s="719">
        <v>0</v>
      </c>
      <c r="C76" s="659"/>
      <c r="D76" s="659">
        <v>0</v>
      </c>
      <c r="E76" s="659">
        <v>0</v>
      </c>
      <c r="F76" s="659">
        <v>0</v>
      </c>
      <c r="G76" s="650">
        <v>0</v>
      </c>
      <c r="H76" s="532">
        <v>0</v>
      </c>
      <c r="I76" s="631" t="s">
        <v>653</v>
      </c>
      <c r="J76" s="617"/>
    </row>
    <row r="77" spans="1:10" x14ac:dyDescent="0.25">
      <c r="A77" s="508" t="s">
        <v>488</v>
      </c>
      <c r="H77" s="496"/>
      <c r="J77" s="617"/>
    </row>
    <row r="78" spans="1:10" x14ac:dyDescent="0.25">
      <c r="H78" s="496"/>
      <c r="I78" s="632"/>
      <c r="J78" s="617"/>
    </row>
    <row r="79" spans="1:10" ht="17.25" x14ac:dyDescent="0.25">
      <c r="A79" s="495" t="s">
        <v>256</v>
      </c>
      <c r="B79" s="719">
        <v>10061742.879999995</v>
      </c>
      <c r="C79" s="658"/>
      <c r="D79" s="658">
        <v>9412961.5699999928</v>
      </c>
      <c r="E79" s="658">
        <v>9409276.3900000006</v>
      </c>
      <c r="F79" s="658">
        <v>9338135.7599999979</v>
      </c>
      <c r="G79" s="651">
        <v>9696362.0200000033</v>
      </c>
      <c r="H79" s="533">
        <v>8740394.4900000021</v>
      </c>
      <c r="I79" s="625" t="s">
        <v>655</v>
      </c>
      <c r="J79" s="617"/>
    </row>
    <row r="80" spans="1:10" x14ac:dyDescent="0.25">
      <c r="A80" s="495"/>
      <c r="H80" s="496"/>
      <c r="J80" s="617"/>
    </row>
    <row r="81" spans="1:10" ht="17.25" x14ac:dyDescent="0.25">
      <c r="A81" s="495" t="s">
        <v>257</v>
      </c>
      <c r="B81" s="719">
        <v>1518469.5600000005</v>
      </c>
      <c r="C81" s="658"/>
      <c r="D81" s="658">
        <v>2754796</v>
      </c>
      <c r="E81" s="658">
        <v>1377478.3499999996</v>
      </c>
      <c r="F81" s="658">
        <v>1341301.1799999997</v>
      </c>
      <c r="G81" s="651">
        <v>1288030.8800000008</v>
      </c>
      <c r="H81" s="533">
        <v>1347353.8399999999</v>
      </c>
      <c r="I81" s="625" t="s">
        <v>656</v>
      </c>
      <c r="J81" s="617"/>
    </row>
    <row r="82" spans="1:10" ht="17.25" x14ac:dyDescent="0.25">
      <c r="A82" s="495" t="s">
        <v>258</v>
      </c>
      <c r="B82" s="719">
        <v>280222</v>
      </c>
      <c r="C82" s="658"/>
      <c r="D82" s="658">
        <v>288222</v>
      </c>
      <c r="E82" s="658">
        <v>333722</v>
      </c>
      <c r="F82" s="658">
        <v>264222</v>
      </c>
      <c r="G82" s="651">
        <v>310522</v>
      </c>
      <c r="H82" s="533">
        <v>233522</v>
      </c>
      <c r="I82" s="625" t="s">
        <v>657</v>
      </c>
      <c r="J82" s="617"/>
    </row>
    <row r="83" spans="1:10" x14ac:dyDescent="0.25">
      <c r="A83" s="495"/>
      <c r="H83" s="496"/>
      <c r="J83" s="617"/>
    </row>
    <row r="84" spans="1:10" ht="17.25" x14ac:dyDescent="0.25">
      <c r="A84" s="495" t="s">
        <v>259</v>
      </c>
      <c r="B84" s="719">
        <v>4834064</v>
      </c>
      <c r="C84" s="658"/>
      <c r="D84" s="658">
        <v>6610574.2100000009</v>
      </c>
      <c r="E84" s="658">
        <v>4819488.8999999985</v>
      </c>
      <c r="F84" s="658">
        <v>4902321.0800000019</v>
      </c>
      <c r="G84" s="651">
        <v>4827487.4699999988</v>
      </c>
      <c r="H84" s="533">
        <v>5077571.84</v>
      </c>
      <c r="I84" s="625" t="s">
        <v>658</v>
      </c>
      <c r="J84" s="617"/>
    </row>
    <row r="85" spans="1:10" ht="17.25" x14ac:dyDescent="0.25">
      <c r="A85" s="495" t="s">
        <v>260</v>
      </c>
      <c r="B85" s="719">
        <v>39388</v>
      </c>
      <c r="C85" s="659"/>
      <c r="D85" s="659">
        <v>1314727.7899999998</v>
      </c>
      <c r="E85" s="659">
        <v>0</v>
      </c>
      <c r="F85" s="659">
        <v>3540</v>
      </c>
      <c r="G85" s="650">
        <v>19758.64000000013</v>
      </c>
      <c r="H85" s="532">
        <v>408406.85999999987</v>
      </c>
      <c r="I85" s="631" t="s">
        <v>719</v>
      </c>
      <c r="J85" s="617"/>
    </row>
    <row r="86" spans="1:10" ht="17.25" x14ac:dyDescent="0.25">
      <c r="A86" s="495" t="s">
        <v>261</v>
      </c>
      <c r="B86" s="719">
        <v>380000</v>
      </c>
      <c r="C86" s="659"/>
      <c r="D86" s="659">
        <v>380000</v>
      </c>
      <c r="E86" s="659">
        <v>380000</v>
      </c>
      <c r="F86" s="659">
        <v>380000</v>
      </c>
      <c r="G86" s="650">
        <v>463500</v>
      </c>
      <c r="H86" s="532">
        <v>380000</v>
      </c>
      <c r="I86" s="631" t="s">
        <v>659</v>
      </c>
      <c r="J86" s="617"/>
    </row>
    <row r="87" spans="1:10" ht="17.25" x14ac:dyDescent="0.25">
      <c r="A87" s="495" t="s">
        <v>262</v>
      </c>
      <c r="B87" s="719">
        <v>4314749.700000003</v>
      </c>
      <c r="C87" s="659"/>
      <c r="D87" s="659">
        <v>4329334.1700000018</v>
      </c>
      <c r="E87" s="659">
        <v>4315541.6199999973</v>
      </c>
      <c r="F87" s="659">
        <v>4269484.6700000018</v>
      </c>
      <c r="G87" s="650">
        <v>4251989.379999999</v>
      </c>
      <c r="H87" s="532">
        <v>4091326.16</v>
      </c>
      <c r="I87" s="631" t="s">
        <v>660</v>
      </c>
      <c r="J87" s="617"/>
    </row>
    <row r="88" spans="1:10" ht="17.25" x14ac:dyDescent="0.25">
      <c r="A88" s="495" t="s">
        <v>263</v>
      </c>
      <c r="B88" s="719">
        <v>83896.299999999814</v>
      </c>
      <c r="C88" s="659"/>
      <c r="D88" s="659">
        <v>558812.25</v>
      </c>
      <c r="E88" s="659">
        <v>112047.28000000003</v>
      </c>
      <c r="F88" s="659">
        <v>249296.41000000003</v>
      </c>
      <c r="G88" s="650">
        <v>59809.449999999953</v>
      </c>
      <c r="H88" s="532">
        <v>166448.82000000007</v>
      </c>
      <c r="I88" s="631" t="s">
        <v>661</v>
      </c>
      <c r="J88" s="617"/>
    </row>
    <row r="89" spans="1:10" ht="17.25" x14ac:dyDescent="0.25">
      <c r="A89" s="495" t="s">
        <v>264</v>
      </c>
      <c r="B89" s="719">
        <v>16030</v>
      </c>
      <c r="C89" s="659"/>
      <c r="D89" s="659">
        <v>27700</v>
      </c>
      <c r="E89" s="659">
        <v>11900</v>
      </c>
      <c r="F89" s="659">
        <v>0</v>
      </c>
      <c r="G89" s="650">
        <v>32430</v>
      </c>
      <c r="H89" s="532">
        <v>31390</v>
      </c>
      <c r="I89" s="631" t="s">
        <v>662</v>
      </c>
      <c r="J89" s="617"/>
    </row>
    <row r="90" spans="1:10" x14ac:dyDescent="0.25">
      <c r="A90" s="495"/>
      <c r="H90" s="496"/>
      <c r="J90" s="617"/>
    </row>
    <row r="91" spans="1:10" ht="17.25" x14ac:dyDescent="0.25">
      <c r="A91" s="495" t="s">
        <v>265</v>
      </c>
      <c r="B91" s="719">
        <v>19202328.57</v>
      </c>
      <c r="D91" s="471">
        <v>6236030.6100000013</v>
      </c>
      <c r="E91" s="471">
        <v>1402532.0399999991</v>
      </c>
      <c r="G91" s="647">
        <v>1637116.8800000008</v>
      </c>
      <c r="H91" s="530">
        <v>1243999.4699999988</v>
      </c>
      <c r="I91" s="626" t="s">
        <v>663</v>
      </c>
      <c r="J91" s="617"/>
    </row>
    <row r="92" spans="1:10" ht="17.25" x14ac:dyDescent="0.25">
      <c r="A92" s="495" t="s">
        <v>266</v>
      </c>
      <c r="B92" s="719">
        <v>238350</v>
      </c>
      <c r="C92" s="658"/>
      <c r="D92" s="658">
        <v>218250.00000000023</v>
      </c>
      <c r="E92" s="658">
        <v>229235.19999999995</v>
      </c>
      <c r="F92" s="658">
        <v>202800</v>
      </c>
      <c r="G92" s="653">
        <v>245200</v>
      </c>
      <c r="H92" s="533">
        <v>197660</v>
      </c>
      <c r="I92" s="625" t="s">
        <v>664</v>
      </c>
      <c r="J92" s="617"/>
    </row>
    <row r="93" spans="1:10" ht="17.25" x14ac:dyDescent="0.25">
      <c r="A93" s="495" t="s">
        <v>267</v>
      </c>
      <c r="B93" s="719">
        <v>60000</v>
      </c>
      <c r="C93" s="658"/>
      <c r="D93" s="658">
        <v>15000</v>
      </c>
      <c r="E93" s="658">
        <v>15000</v>
      </c>
      <c r="F93" s="658">
        <v>15000</v>
      </c>
      <c r="G93" s="653">
        <v>15000</v>
      </c>
      <c r="H93" s="533">
        <v>30000</v>
      </c>
      <c r="I93" s="625" t="s">
        <v>665</v>
      </c>
      <c r="J93" s="617"/>
    </row>
    <row r="94" spans="1:10" ht="17.25" x14ac:dyDescent="0.25">
      <c r="A94" s="495" t="s">
        <v>268</v>
      </c>
      <c r="B94" s="719">
        <v>29690</v>
      </c>
      <c r="C94" s="658"/>
      <c r="D94" s="658">
        <v>19381.110000000015</v>
      </c>
      <c r="E94" s="658">
        <v>17308</v>
      </c>
      <c r="F94" s="658">
        <v>23640</v>
      </c>
      <c r="G94" s="653">
        <v>11270</v>
      </c>
      <c r="H94" s="533">
        <v>20300</v>
      </c>
      <c r="I94" s="625" t="s">
        <v>666</v>
      </c>
      <c r="J94" s="617"/>
    </row>
    <row r="95" spans="1:10" ht="17.25" x14ac:dyDescent="0.25">
      <c r="A95" s="495" t="s">
        <v>559</v>
      </c>
      <c r="B95" s="719">
        <v>7233400</v>
      </c>
      <c r="C95" s="658"/>
      <c r="D95" s="658">
        <v>0</v>
      </c>
      <c r="E95" s="658">
        <v>0</v>
      </c>
      <c r="F95" s="658">
        <v>0</v>
      </c>
      <c r="G95" s="653">
        <v>0</v>
      </c>
      <c r="H95" s="533">
        <v>0</v>
      </c>
      <c r="I95" s="625" t="s">
        <v>667</v>
      </c>
      <c r="J95" s="617"/>
    </row>
    <row r="96" spans="1:10" ht="17.25" x14ac:dyDescent="0.25">
      <c r="A96" s="495" t="s">
        <v>269</v>
      </c>
      <c r="B96" s="719">
        <v>11640888.57</v>
      </c>
      <c r="C96" s="658"/>
      <c r="D96" s="658">
        <v>5983399.4999999981</v>
      </c>
      <c r="E96" s="658">
        <v>1140988.8399999999</v>
      </c>
      <c r="F96" s="658">
        <v>1136717.2300000004</v>
      </c>
      <c r="G96" s="653">
        <v>1365646.8800000008</v>
      </c>
      <c r="H96" s="533">
        <v>996039.46999999974</v>
      </c>
      <c r="I96" s="625" t="s">
        <v>668</v>
      </c>
      <c r="J96" s="617"/>
    </row>
    <row r="97" spans="1:10" x14ac:dyDescent="0.25">
      <c r="A97" s="495"/>
      <c r="H97" s="496"/>
      <c r="J97" s="617"/>
    </row>
    <row r="98" spans="1:10" ht="17.25" x14ac:dyDescent="0.25">
      <c r="A98" s="495" t="s">
        <v>270</v>
      </c>
      <c r="B98" s="719">
        <v>6413168.299999997</v>
      </c>
      <c r="C98" s="657"/>
      <c r="D98" s="657">
        <v>6642889.1099999994</v>
      </c>
      <c r="E98" s="657">
        <v>6027089.9399999976</v>
      </c>
      <c r="F98" s="657">
        <v>5525300.5100000054</v>
      </c>
      <c r="G98" s="647">
        <v>5807682.3099999987</v>
      </c>
      <c r="H98" s="530">
        <v>5890963.8000000007</v>
      </c>
      <c r="I98" s="626" t="s">
        <v>669</v>
      </c>
      <c r="J98" s="617"/>
    </row>
    <row r="99" spans="1:10" ht="17.25" x14ac:dyDescent="0.25">
      <c r="A99" s="495" t="s">
        <v>271</v>
      </c>
      <c r="B99" s="719">
        <v>384682.10999999987</v>
      </c>
      <c r="C99" s="658"/>
      <c r="D99" s="658">
        <v>179508.96999999997</v>
      </c>
      <c r="E99" s="658">
        <v>174341.01000000013</v>
      </c>
      <c r="F99" s="658">
        <v>119229.81999999995</v>
      </c>
      <c r="G99" s="653">
        <v>227706.83000000007</v>
      </c>
      <c r="H99" s="533">
        <v>93526.339999999967</v>
      </c>
      <c r="I99" s="625" t="s">
        <v>670</v>
      </c>
      <c r="J99" s="617"/>
    </row>
    <row r="100" spans="1:10" ht="17.25" x14ac:dyDescent="0.25">
      <c r="A100" s="495" t="s">
        <v>560</v>
      </c>
      <c r="B100" s="719">
        <v>281560.52</v>
      </c>
      <c r="C100" s="658"/>
      <c r="D100" s="658">
        <v>281560.52</v>
      </c>
      <c r="E100" s="658">
        <v>423106.60999999987</v>
      </c>
      <c r="F100" s="658">
        <v>283092.28000000026</v>
      </c>
      <c r="G100" s="653">
        <v>283092.28000000003</v>
      </c>
      <c r="H100" s="533">
        <v>283092.2799999998</v>
      </c>
      <c r="I100" s="625" t="s">
        <v>671</v>
      </c>
      <c r="J100" s="617"/>
    </row>
    <row r="101" spans="1:10" x14ac:dyDescent="0.25">
      <c r="A101" s="495"/>
      <c r="H101" s="496"/>
      <c r="J101" s="617"/>
    </row>
    <row r="102" spans="1:10" ht="17.25" x14ac:dyDescent="0.25">
      <c r="A102" s="495" t="s">
        <v>272</v>
      </c>
      <c r="B102" s="719">
        <v>478752.49000000022</v>
      </c>
      <c r="C102" s="658"/>
      <c r="D102" s="658">
        <v>262259.73</v>
      </c>
      <c r="E102" s="658">
        <v>306394.60999999987</v>
      </c>
      <c r="F102" s="658">
        <v>326432.8600000001</v>
      </c>
      <c r="G102" s="653">
        <v>213632.58000000007</v>
      </c>
      <c r="H102" s="533">
        <v>219120.33000000007</v>
      </c>
      <c r="I102" s="625" t="s">
        <v>672</v>
      </c>
      <c r="J102" s="617"/>
    </row>
    <row r="103" spans="1:10" ht="17.25" x14ac:dyDescent="0.25">
      <c r="A103" s="495" t="s">
        <v>273</v>
      </c>
      <c r="B103" s="719">
        <v>351549.15999999992</v>
      </c>
      <c r="C103" s="659"/>
      <c r="D103" s="659">
        <v>135068.18000000017</v>
      </c>
      <c r="E103" s="659">
        <v>189306.09999999998</v>
      </c>
      <c r="F103" s="659">
        <v>194173.36</v>
      </c>
      <c r="G103" s="650">
        <v>84003.419999999925</v>
      </c>
      <c r="H103" s="532">
        <v>125211.06000000006</v>
      </c>
      <c r="I103" s="631" t="s">
        <v>673</v>
      </c>
      <c r="J103" s="617"/>
    </row>
    <row r="104" spans="1:10" ht="17.25" x14ac:dyDescent="0.25">
      <c r="A104" s="495" t="s">
        <v>274</v>
      </c>
      <c r="B104" s="719">
        <v>70109.199999999953</v>
      </c>
      <c r="C104" s="659"/>
      <c r="D104" s="659">
        <v>75862.039999999979</v>
      </c>
      <c r="E104" s="659">
        <v>43587.489999999991</v>
      </c>
      <c r="F104" s="659">
        <v>74544.489999999991</v>
      </c>
      <c r="G104" s="650">
        <v>41106.200000000012</v>
      </c>
      <c r="H104" s="532">
        <v>54622.26999999999</v>
      </c>
      <c r="I104" s="631" t="s">
        <v>674</v>
      </c>
      <c r="J104" s="617"/>
    </row>
    <row r="105" spans="1:10" ht="17.25" x14ac:dyDescent="0.25">
      <c r="A105" s="495" t="s">
        <v>275</v>
      </c>
      <c r="B105" s="719">
        <v>44600</v>
      </c>
      <c r="C105" s="659"/>
      <c r="D105" s="659">
        <v>40938.51999999996</v>
      </c>
      <c r="E105" s="659">
        <v>52461</v>
      </c>
      <c r="F105" s="659">
        <v>50400</v>
      </c>
      <c r="G105" s="650">
        <v>62550</v>
      </c>
      <c r="H105" s="532">
        <v>900</v>
      </c>
      <c r="I105" s="631" t="s">
        <v>675</v>
      </c>
      <c r="J105" s="617"/>
    </row>
    <row r="106" spans="1:10" ht="17.25" x14ac:dyDescent="0.25">
      <c r="A106" s="495" t="s">
        <v>276</v>
      </c>
      <c r="B106" s="719">
        <v>12494.130000000005</v>
      </c>
      <c r="C106" s="659"/>
      <c r="D106" s="659">
        <v>10390.989999999991</v>
      </c>
      <c r="E106" s="659">
        <v>21040.020000000019</v>
      </c>
      <c r="F106" s="659">
        <v>7315.0099999999511</v>
      </c>
      <c r="G106" s="650">
        <v>25972.960000000021</v>
      </c>
      <c r="H106" s="532">
        <v>38387</v>
      </c>
      <c r="I106" s="631" t="s">
        <v>676</v>
      </c>
      <c r="J106" s="617"/>
    </row>
    <row r="107" spans="1:10" x14ac:dyDescent="0.25">
      <c r="A107" s="495"/>
      <c r="H107" s="496"/>
      <c r="J107" s="617"/>
    </row>
    <row r="108" spans="1:10" ht="17.25" x14ac:dyDescent="0.25">
      <c r="A108" s="509" t="s">
        <v>416</v>
      </c>
      <c r="B108" s="719">
        <v>42185</v>
      </c>
      <c r="D108" s="471">
        <v>32700</v>
      </c>
      <c r="I108" s="622">
        <v>533.04</v>
      </c>
      <c r="J108" s="617"/>
    </row>
    <row r="109" spans="1:10" ht="17.25" x14ac:dyDescent="0.25">
      <c r="A109" s="510" t="s">
        <v>277</v>
      </c>
      <c r="B109" s="719">
        <v>1037455.4499999993</v>
      </c>
      <c r="C109" s="658"/>
      <c r="D109" s="658">
        <v>1037455.4499999993</v>
      </c>
      <c r="E109" s="658">
        <v>1037455.4500000002</v>
      </c>
      <c r="F109" s="658">
        <v>1037455.4500000002</v>
      </c>
      <c r="G109" s="653">
        <v>1037455.4500000002</v>
      </c>
      <c r="H109" s="533">
        <v>1037455.4500000002</v>
      </c>
      <c r="I109" s="625" t="s">
        <v>677</v>
      </c>
      <c r="J109" s="617"/>
    </row>
    <row r="110" spans="1:10" ht="17.25" x14ac:dyDescent="0.25">
      <c r="A110" s="495" t="s">
        <v>278</v>
      </c>
      <c r="B110" s="719">
        <v>1652731.2200000025</v>
      </c>
      <c r="C110" s="658"/>
      <c r="D110" s="658">
        <v>1600035.0700000003</v>
      </c>
      <c r="E110" s="658">
        <v>1587465.4900000002</v>
      </c>
      <c r="F110" s="658">
        <v>1572614.6500000004</v>
      </c>
      <c r="G110" s="653">
        <v>1608351.0999999996</v>
      </c>
      <c r="H110" s="533">
        <v>2680835.2799999993</v>
      </c>
      <c r="I110" s="625" t="s">
        <v>678</v>
      </c>
      <c r="J110" s="617"/>
    </row>
    <row r="111" spans="1:10" x14ac:dyDescent="0.25">
      <c r="A111" s="495"/>
      <c r="H111" s="496"/>
      <c r="J111" s="617"/>
    </row>
    <row r="112" spans="1:10" ht="17.25" x14ac:dyDescent="0.25">
      <c r="A112" s="495" t="s">
        <v>279</v>
      </c>
      <c r="B112" s="719">
        <v>2535801.5099999979</v>
      </c>
      <c r="C112" s="658"/>
      <c r="D112" s="658">
        <v>3249369.370000001</v>
      </c>
      <c r="E112" s="658">
        <v>2498326.7699999996</v>
      </c>
      <c r="F112" s="658">
        <v>2186475.4499999993</v>
      </c>
      <c r="G112" s="653">
        <v>2437444.0700000003</v>
      </c>
      <c r="H112" s="533">
        <v>1576934.120000001</v>
      </c>
      <c r="I112" s="625" t="s">
        <v>679</v>
      </c>
      <c r="J112" s="617"/>
    </row>
    <row r="113" spans="1:10" ht="17.25" x14ac:dyDescent="0.25">
      <c r="A113" s="495" t="s">
        <v>280</v>
      </c>
      <c r="B113" s="719">
        <v>2535801.5100000016</v>
      </c>
      <c r="C113" s="659"/>
      <c r="D113" s="659">
        <v>3249369.370000001</v>
      </c>
      <c r="E113" s="659">
        <v>2498326.7699999977</v>
      </c>
      <c r="F113" s="659">
        <v>2186475.4500000011</v>
      </c>
      <c r="G113" s="652">
        <v>2437444.0700000003</v>
      </c>
      <c r="H113" s="532">
        <v>1576934.120000001</v>
      </c>
      <c r="I113" s="631" t="s">
        <v>680</v>
      </c>
      <c r="J113" s="617"/>
    </row>
    <row r="114" spans="1:10" ht="17.25" x14ac:dyDescent="0.25">
      <c r="A114" s="505" t="s">
        <v>543</v>
      </c>
      <c r="B114" s="719">
        <v>0</v>
      </c>
      <c r="C114" s="659"/>
      <c r="D114" s="659">
        <v>0</v>
      </c>
      <c r="E114" s="659">
        <v>0</v>
      </c>
      <c r="F114" s="659">
        <v>0</v>
      </c>
      <c r="G114" s="650">
        <v>0</v>
      </c>
      <c r="H114" s="532">
        <v>0</v>
      </c>
      <c r="I114" s="631" t="s">
        <v>681</v>
      </c>
      <c r="J114" s="617"/>
    </row>
    <row r="115" spans="1:10" x14ac:dyDescent="0.25">
      <c r="A115" s="505"/>
      <c r="B115" s="641"/>
      <c r="C115" s="641"/>
      <c r="D115" s="641"/>
      <c r="E115" s="641"/>
      <c r="F115" s="641"/>
      <c r="G115" s="641"/>
      <c r="H115" s="511"/>
      <c r="J115" s="617"/>
    </row>
    <row r="116" spans="1:10" ht="17.25" x14ac:dyDescent="0.25">
      <c r="A116" s="495" t="s">
        <v>281</v>
      </c>
      <c r="B116" s="719">
        <v>9225713.1099999994</v>
      </c>
      <c r="C116" s="657"/>
      <c r="D116" s="657">
        <v>8666777.200000003</v>
      </c>
      <c r="E116" s="657">
        <v>8258746.2700000107</v>
      </c>
      <c r="F116" s="657">
        <v>8777285.0099999905</v>
      </c>
      <c r="G116" s="647">
        <v>8931928.5400000066</v>
      </c>
      <c r="H116" s="530">
        <v>12385179.009999998</v>
      </c>
      <c r="I116" s="626" t="s">
        <v>682</v>
      </c>
      <c r="J116" s="617"/>
    </row>
    <row r="117" spans="1:10" ht="17.25" x14ac:dyDescent="0.25">
      <c r="A117" s="495" t="s">
        <v>282</v>
      </c>
      <c r="B117" s="719">
        <v>380199.59999999986</v>
      </c>
      <c r="C117" s="659"/>
      <c r="D117" s="659">
        <v>170932.14000000013</v>
      </c>
      <c r="E117" s="659">
        <v>159475.08999999985</v>
      </c>
      <c r="F117" s="659">
        <v>159475.09000000008</v>
      </c>
      <c r="G117" s="650">
        <v>154515.29000000004</v>
      </c>
      <c r="H117" s="532">
        <v>457161.93</v>
      </c>
      <c r="I117" s="631" t="s">
        <v>683</v>
      </c>
      <c r="J117" s="617"/>
    </row>
    <row r="118" spans="1:10" ht="17.25" x14ac:dyDescent="0.25">
      <c r="A118" s="495" t="s">
        <v>600</v>
      </c>
      <c r="B118" s="719">
        <v>190199.39999999991</v>
      </c>
      <c r="C118" s="659"/>
      <c r="D118" s="659">
        <v>118934.40000000014</v>
      </c>
      <c r="E118" s="659">
        <v>55235.329999999958</v>
      </c>
      <c r="F118" s="659">
        <v>168433.40000000002</v>
      </c>
      <c r="G118" s="650">
        <v>452821.58</v>
      </c>
      <c r="H118" s="532">
        <v>112541.34</v>
      </c>
      <c r="I118" s="631" t="s">
        <v>684</v>
      </c>
      <c r="J118" s="617"/>
    </row>
    <row r="119" spans="1:10" ht="17.25" x14ac:dyDescent="0.25">
      <c r="A119" s="495" t="s">
        <v>283</v>
      </c>
      <c r="B119" s="719">
        <v>270813.93999999994</v>
      </c>
      <c r="C119" s="659"/>
      <c r="D119" s="659">
        <v>337098.41000000015</v>
      </c>
      <c r="E119" s="659">
        <v>146555.7899999998</v>
      </c>
      <c r="F119" s="659">
        <v>193295.83000000007</v>
      </c>
      <c r="G119" s="650">
        <v>247753.80000000005</v>
      </c>
      <c r="H119" s="532">
        <v>301462.46999999997</v>
      </c>
      <c r="I119" s="631" t="s">
        <v>685</v>
      </c>
      <c r="J119" s="617"/>
    </row>
    <row r="120" spans="1:10" ht="17.25" x14ac:dyDescent="0.25">
      <c r="A120" s="505" t="s">
        <v>610</v>
      </c>
      <c r="B120" s="719">
        <v>-115262.8200000003</v>
      </c>
      <c r="C120" s="659"/>
      <c r="D120" s="659">
        <v>552290.55999999866</v>
      </c>
      <c r="E120" s="659">
        <v>343691.08000000007</v>
      </c>
      <c r="F120" s="659">
        <v>696547.08000000007</v>
      </c>
      <c r="G120" s="650">
        <v>357077.88000000082</v>
      </c>
      <c r="H120" s="532">
        <v>4033424.5700000003</v>
      </c>
      <c r="I120" s="631" t="s">
        <v>686</v>
      </c>
      <c r="J120" s="617"/>
    </row>
    <row r="121" spans="1:10" ht="17.25" x14ac:dyDescent="0.25">
      <c r="A121" s="495" t="s">
        <v>284</v>
      </c>
      <c r="B121" s="719">
        <v>-184982.83000000007</v>
      </c>
      <c r="C121" s="659"/>
      <c r="D121" s="659">
        <v>552290.56000000052</v>
      </c>
      <c r="E121" s="659">
        <v>343491.08000000007</v>
      </c>
      <c r="F121" s="659">
        <v>689797.08999999985</v>
      </c>
      <c r="G121" s="650">
        <v>357077.87999999989</v>
      </c>
      <c r="H121" s="532">
        <v>4028609.5699999994</v>
      </c>
      <c r="I121" s="624" t="s">
        <v>687</v>
      </c>
      <c r="J121" s="617"/>
    </row>
    <row r="122" spans="1:10" ht="17.25" x14ac:dyDescent="0.25">
      <c r="A122" s="495" t="s">
        <v>285</v>
      </c>
      <c r="B122" s="719">
        <v>69720.009999999995</v>
      </c>
      <c r="C122" s="659"/>
      <c r="D122" s="659">
        <v>0</v>
      </c>
      <c r="E122" s="659">
        <v>200</v>
      </c>
      <c r="F122" s="659">
        <v>6749.989999999998</v>
      </c>
      <c r="G122" s="650">
        <v>0</v>
      </c>
      <c r="H122" s="532">
        <v>4815</v>
      </c>
      <c r="I122" s="624" t="s">
        <v>688</v>
      </c>
      <c r="J122" s="617"/>
    </row>
    <row r="123" spans="1:10" x14ac:dyDescent="0.25">
      <c r="A123" s="495"/>
      <c r="H123" s="496"/>
      <c r="J123" s="617"/>
    </row>
    <row r="124" spans="1:10" ht="17.25" x14ac:dyDescent="0.25">
      <c r="A124" s="495" t="s">
        <v>286</v>
      </c>
      <c r="B124" s="719">
        <v>3592277.6000000015</v>
      </c>
      <c r="C124" s="658"/>
      <c r="D124" s="658">
        <v>2802286.4499999993</v>
      </c>
      <c r="E124" s="658">
        <v>2834311.4499999993</v>
      </c>
      <c r="F124" s="658">
        <v>2754333.0200000014</v>
      </c>
      <c r="G124" s="653">
        <v>2918473.8900000006</v>
      </c>
      <c r="H124" s="533">
        <v>2653347.8900000006</v>
      </c>
      <c r="I124" s="622">
        <v>534.04</v>
      </c>
      <c r="J124" s="617"/>
    </row>
    <row r="125" spans="1:10" x14ac:dyDescent="0.25">
      <c r="A125" s="495"/>
      <c r="H125" s="496"/>
      <c r="J125" s="617"/>
    </row>
    <row r="126" spans="1:10" ht="17.25" x14ac:dyDescent="0.25">
      <c r="A126" s="495" t="s">
        <v>287</v>
      </c>
      <c r="B126" s="719">
        <v>618321.60000000056</v>
      </c>
      <c r="C126" s="658"/>
      <c r="D126" s="658">
        <v>574104.08999999985</v>
      </c>
      <c r="E126" s="658">
        <v>528947.38999999966</v>
      </c>
      <c r="F126" s="658">
        <v>554677.39000000013</v>
      </c>
      <c r="G126" s="653">
        <v>553377.39000000013</v>
      </c>
      <c r="H126" s="533">
        <v>588294.73</v>
      </c>
      <c r="I126" s="625" t="s">
        <v>689</v>
      </c>
      <c r="J126" s="617"/>
    </row>
    <row r="127" spans="1:10" ht="17.25" x14ac:dyDescent="0.25">
      <c r="A127" s="512" t="s">
        <v>602</v>
      </c>
      <c r="B127" s="719">
        <v>84960</v>
      </c>
      <c r="C127" s="658"/>
      <c r="D127" s="658">
        <v>1000</v>
      </c>
      <c r="E127" s="658">
        <v>0</v>
      </c>
      <c r="F127" s="658">
        <v>32568</v>
      </c>
      <c r="G127" s="653">
        <v>51840</v>
      </c>
      <c r="H127" s="533">
        <v>0</v>
      </c>
      <c r="I127" s="625" t="s">
        <v>690</v>
      </c>
      <c r="J127" s="617"/>
    </row>
    <row r="128" spans="1:10" x14ac:dyDescent="0.25">
      <c r="A128" s="512"/>
      <c r="B128" s="640"/>
      <c r="C128" s="640"/>
      <c r="D128" s="640"/>
      <c r="E128" s="640"/>
      <c r="F128" s="640"/>
      <c r="G128" s="640"/>
      <c r="H128" s="513"/>
      <c r="J128" s="617"/>
    </row>
    <row r="129" spans="1:10" ht="17.25" x14ac:dyDescent="0.25">
      <c r="A129" s="495" t="s">
        <v>455</v>
      </c>
      <c r="B129" s="719">
        <v>47945.780000000028</v>
      </c>
      <c r="C129" s="658"/>
      <c r="D129" s="658">
        <v>4062185.3700000048</v>
      </c>
      <c r="E129" s="658">
        <v>47945.780000000028</v>
      </c>
      <c r="F129" s="658">
        <v>47945.77999999997</v>
      </c>
      <c r="G129" s="653">
        <v>47945.780000000028</v>
      </c>
      <c r="H129" s="533">
        <v>47945.78</v>
      </c>
      <c r="I129" s="627" t="s">
        <v>714</v>
      </c>
      <c r="J129" s="617"/>
    </row>
    <row r="130" spans="1:10" ht="17.25" x14ac:dyDescent="0.25">
      <c r="A130" s="510" t="s">
        <v>288</v>
      </c>
      <c r="B130" s="719">
        <v>4156258.0099999979</v>
      </c>
      <c r="C130" s="658"/>
      <c r="D130" s="658">
        <v>47945.77999999997</v>
      </c>
      <c r="E130" s="658">
        <v>4142584.3599999994</v>
      </c>
      <c r="F130" s="658">
        <v>4170009.4199999981</v>
      </c>
      <c r="G130" s="653">
        <v>4144122.9299999997</v>
      </c>
      <c r="H130" s="534">
        <v>4191000.3</v>
      </c>
      <c r="I130" s="633">
        <v>534.07000000000005</v>
      </c>
      <c r="J130" s="617"/>
    </row>
    <row r="131" spans="1:10" ht="17.25" x14ac:dyDescent="0.25">
      <c r="A131" s="521" t="s">
        <v>725</v>
      </c>
      <c r="B131" s="658">
        <v>0</v>
      </c>
      <c r="C131" s="658"/>
      <c r="D131" s="658">
        <v>0</v>
      </c>
      <c r="E131" s="658">
        <v>0</v>
      </c>
      <c r="F131" s="658">
        <v>0</v>
      </c>
      <c r="G131" s="652">
        <v>4000</v>
      </c>
      <c r="H131" s="513"/>
      <c r="I131" s="622" t="s">
        <v>732</v>
      </c>
      <c r="J131" s="617"/>
    </row>
    <row r="132" spans="1:10" x14ac:dyDescent="0.25">
      <c r="A132" s="495"/>
      <c r="B132" s="470"/>
      <c r="C132" s="470"/>
      <c r="D132" s="470"/>
      <c r="E132" s="470"/>
      <c r="F132" s="470"/>
      <c r="H132" s="496"/>
      <c r="J132" s="617"/>
    </row>
    <row r="133" spans="1:10" ht="17.25" x14ac:dyDescent="0.25">
      <c r="A133" s="495" t="s">
        <v>289</v>
      </c>
      <c r="B133" s="719">
        <v>11061939.170000002</v>
      </c>
      <c r="C133" s="657"/>
      <c r="D133" s="657">
        <v>8624188.3400000036</v>
      </c>
      <c r="E133" s="657">
        <v>5092253.1599999964</v>
      </c>
      <c r="F133" s="657">
        <v>6801702.5799999982</v>
      </c>
      <c r="G133" s="647">
        <v>7922408.1799999997</v>
      </c>
      <c r="H133" s="530">
        <v>4060190.92</v>
      </c>
      <c r="I133" s="626" t="s">
        <v>691</v>
      </c>
      <c r="J133" s="617"/>
    </row>
    <row r="134" spans="1:10" ht="17.25" x14ac:dyDescent="0.25">
      <c r="A134" s="495" t="s">
        <v>189</v>
      </c>
      <c r="B134" s="719">
        <v>45340</v>
      </c>
      <c r="C134" s="658"/>
      <c r="D134" s="658">
        <v>51170</v>
      </c>
      <c r="E134" s="658">
        <v>40760</v>
      </c>
      <c r="F134" s="658">
        <v>45970</v>
      </c>
      <c r="G134" s="653">
        <v>32700</v>
      </c>
      <c r="H134" s="533">
        <v>48540</v>
      </c>
      <c r="I134" s="625" t="s">
        <v>692</v>
      </c>
      <c r="J134" s="617"/>
    </row>
    <row r="135" spans="1:10" ht="17.25" x14ac:dyDescent="0.25">
      <c r="A135" s="495" t="s">
        <v>290</v>
      </c>
      <c r="B135" s="719">
        <v>653907.1400000006</v>
      </c>
      <c r="C135" s="658"/>
      <c r="D135" s="658">
        <v>2371696.4900000002</v>
      </c>
      <c r="E135" s="658">
        <v>53223.179999999935</v>
      </c>
      <c r="F135" s="658">
        <v>53223.180000000051</v>
      </c>
      <c r="G135" s="653">
        <v>53223.179999999935</v>
      </c>
      <c r="H135" s="533">
        <v>50968.910000000149</v>
      </c>
      <c r="I135" s="625">
        <v>539.04999999999995</v>
      </c>
      <c r="J135" s="617"/>
    </row>
    <row r="136" spans="1:10" ht="17.25" x14ac:dyDescent="0.25">
      <c r="A136" s="495" t="s">
        <v>291</v>
      </c>
      <c r="B136" s="719">
        <v>2035251.7100000009</v>
      </c>
      <c r="C136" s="658"/>
      <c r="D136" s="658">
        <v>1408911.4700000007</v>
      </c>
      <c r="E136" s="658">
        <v>1228726.3800000008</v>
      </c>
      <c r="F136" s="658">
        <v>1458230</v>
      </c>
      <c r="G136" s="653">
        <f>1458155.19-161052.22</f>
        <v>1297102.97</v>
      </c>
      <c r="H136" s="533">
        <v>1688666.6099999994</v>
      </c>
      <c r="I136" s="625" t="s">
        <v>693</v>
      </c>
      <c r="J136" s="617"/>
    </row>
    <row r="137" spans="1:10" ht="17.25" x14ac:dyDescent="0.25">
      <c r="A137" s="495" t="s">
        <v>292</v>
      </c>
      <c r="B137" s="719">
        <v>1877925.7599999998</v>
      </c>
      <c r="C137" s="659"/>
      <c r="D137" s="659">
        <v>1273822.5099999998</v>
      </c>
      <c r="E137" s="659">
        <v>1050985.790000001</v>
      </c>
      <c r="F137" s="659">
        <v>1272771.5700000003</v>
      </c>
      <c r="G137" s="650">
        <f>1303666.92-161052.22</f>
        <v>1142614.7</v>
      </c>
      <c r="H137" s="532">
        <v>1529460.46</v>
      </c>
      <c r="I137" s="631" t="s">
        <v>694</v>
      </c>
      <c r="J137" s="617"/>
    </row>
    <row r="138" spans="1:10" ht="17.25" x14ac:dyDescent="0.25">
      <c r="A138" s="495" t="s">
        <v>293</v>
      </c>
      <c r="B138" s="719">
        <v>157040.93999999994</v>
      </c>
      <c r="C138" s="659"/>
      <c r="D138" s="659">
        <v>134328.94999999995</v>
      </c>
      <c r="E138" s="659">
        <v>169572.58000000007</v>
      </c>
      <c r="F138" s="659">
        <v>185078.41999999993</v>
      </c>
      <c r="G138" s="650">
        <v>153633.25</v>
      </c>
      <c r="H138" s="532">
        <v>158351.13</v>
      </c>
      <c r="I138" s="631" t="s">
        <v>695</v>
      </c>
      <c r="J138" s="617"/>
    </row>
    <row r="139" spans="1:10" ht="17.25" x14ac:dyDescent="0.25">
      <c r="A139" s="495" t="s">
        <v>294</v>
      </c>
      <c r="B139" s="719">
        <v>285.01000000000204</v>
      </c>
      <c r="C139" s="659"/>
      <c r="D139" s="659">
        <v>760.00999999999476</v>
      </c>
      <c r="E139" s="659">
        <v>8168.010000000002</v>
      </c>
      <c r="F139" s="659">
        <v>380.0099999999984</v>
      </c>
      <c r="G139" s="650">
        <v>855.02000000000044</v>
      </c>
      <c r="H139" s="532">
        <v>855.02000000000044</v>
      </c>
      <c r="I139" s="631" t="s">
        <v>696</v>
      </c>
      <c r="J139" s="617"/>
    </row>
    <row r="140" spans="1:10" x14ac:dyDescent="0.25">
      <c r="A140" s="495"/>
      <c r="B140" s="642"/>
      <c r="C140" s="642"/>
      <c r="D140" s="642"/>
      <c r="E140" s="642"/>
      <c r="F140" s="642"/>
      <c r="G140" s="642"/>
      <c r="H140" s="514"/>
      <c r="J140" s="617"/>
    </row>
    <row r="141" spans="1:10" ht="17.25" x14ac:dyDescent="0.25">
      <c r="A141" s="495" t="s">
        <v>295</v>
      </c>
      <c r="B141" s="719">
        <v>3911712.3999999985</v>
      </c>
      <c r="C141" s="658"/>
      <c r="D141" s="658">
        <v>2288059.4400000013</v>
      </c>
      <c r="E141" s="658">
        <v>2519124</v>
      </c>
      <c r="F141" s="658">
        <v>3050284.5399999991</v>
      </c>
      <c r="G141" s="653">
        <v>2896196.16</v>
      </c>
      <c r="H141" s="533">
        <v>2613172.8000000007</v>
      </c>
      <c r="I141" s="625" t="s">
        <v>697</v>
      </c>
      <c r="J141" s="617"/>
    </row>
    <row r="142" spans="1:10" ht="17.25" x14ac:dyDescent="0.25">
      <c r="A142" s="495" t="s">
        <v>296</v>
      </c>
      <c r="B142" s="719">
        <v>1127559.1800000006</v>
      </c>
      <c r="C142" s="658"/>
      <c r="D142" s="658">
        <v>412193.7799999998</v>
      </c>
      <c r="E142" s="658">
        <v>432402.52</v>
      </c>
      <c r="F142" s="658">
        <v>494990.64999999991</v>
      </c>
      <c r="G142" s="653">
        <v>348773.40000000037</v>
      </c>
      <c r="H142" s="533">
        <v>709428.73</v>
      </c>
      <c r="I142" s="625" t="s">
        <v>698</v>
      </c>
      <c r="J142" s="617"/>
    </row>
    <row r="143" spans="1:10" x14ac:dyDescent="0.25">
      <c r="A143" s="495"/>
      <c r="H143" s="496"/>
      <c r="J143" s="617"/>
    </row>
    <row r="144" spans="1:10" ht="17.25" x14ac:dyDescent="0.25">
      <c r="A144" s="495" t="s">
        <v>297</v>
      </c>
      <c r="B144" s="719">
        <v>1515217.3499999996</v>
      </c>
      <c r="C144" s="658"/>
      <c r="D144" s="658">
        <v>314222.20000000019</v>
      </c>
      <c r="E144" s="658">
        <v>284256.10000000009</v>
      </c>
      <c r="F144" s="658">
        <v>233504.79999999981</v>
      </c>
      <c r="G144" s="653">
        <v>573796</v>
      </c>
      <c r="H144" s="533">
        <v>165560</v>
      </c>
      <c r="I144" s="625" t="s">
        <v>699</v>
      </c>
      <c r="J144" s="617"/>
    </row>
    <row r="145" spans="1:10" ht="17.25" x14ac:dyDescent="0.25">
      <c r="A145" s="495" t="s">
        <v>298</v>
      </c>
      <c r="B145" s="719">
        <v>585658.00000000023</v>
      </c>
      <c r="C145" s="658"/>
      <c r="D145" s="658">
        <v>847733.2</v>
      </c>
      <c r="E145" s="658">
        <v>40000</v>
      </c>
      <c r="F145" s="658">
        <v>34500</v>
      </c>
      <c r="G145" s="653">
        <v>94920.020000000019</v>
      </c>
      <c r="H145" s="533">
        <v>5000</v>
      </c>
      <c r="I145" s="625" t="s">
        <v>700</v>
      </c>
      <c r="J145" s="617"/>
    </row>
    <row r="146" spans="1:10" x14ac:dyDescent="0.25">
      <c r="A146" s="495" t="s">
        <v>628</v>
      </c>
      <c r="B146" s="641">
        <v>0</v>
      </c>
      <c r="C146" s="641"/>
      <c r="D146" s="641">
        <v>0</v>
      </c>
      <c r="E146" s="641"/>
      <c r="F146" s="641"/>
      <c r="G146" s="643"/>
      <c r="H146" s="503"/>
      <c r="I146" s="625" t="s">
        <v>701</v>
      </c>
      <c r="J146" s="617"/>
    </row>
    <row r="147" spans="1:10" ht="17.25" x14ac:dyDescent="0.25">
      <c r="A147" s="495" t="s">
        <v>299</v>
      </c>
      <c r="B147" s="719">
        <v>1187293.3900000006</v>
      </c>
      <c r="C147" s="658"/>
      <c r="D147" s="658">
        <v>930201.75999999978</v>
      </c>
      <c r="E147" s="658">
        <v>493760.97999999858</v>
      </c>
      <c r="F147" s="658">
        <v>1430999.4100000001</v>
      </c>
      <c r="G147" s="653">
        <v>2464644.2300000004</v>
      </c>
      <c r="H147" s="533">
        <v>255617.19000000041</v>
      </c>
      <c r="I147" s="625" t="s">
        <v>702</v>
      </c>
      <c r="J147" s="617"/>
    </row>
    <row r="148" spans="1:10" x14ac:dyDescent="0.25">
      <c r="A148" s="495"/>
      <c r="H148" s="496"/>
      <c r="J148" s="617"/>
    </row>
    <row r="149" spans="1:10" ht="17.25" x14ac:dyDescent="0.25">
      <c r="A149" s="497" t="s">
        <v>300</v>
      </c>
      <c r="B149" s="719">
        <v>307705021.66000003</v>
      </c>
      <c r="C149" s="660"/>
      <c r="D149" s="660">
        <v>21768621.079999998</v>
      </c>
      <c r="E149" s="660">
        <v>43529896.960000008</v>
      </c>
      <c r="F149" s="660">
        <v>16825348.739999995</v>
      </c>
      <c r="G149" s="646">
        <v>6146077.3200000003</v>
      </c>
      <c r="H149" s="529">
        <v>4259135.9899999993</v>
      </c>
      <c r="I149" s="630" t="s">
        <v>703</v>
      </c>
      <c r="J149" s="617"/>
    </row>
    <row r="150" spans="1:10" ht="17.25" x14ac:dyDescent="0.25">
      <c r="A150" s="515" t="s">
        <v>603</v>
      </c>
      <c r="B150" s="719">
        <v>303497586.65000004</v>
      </c>
      <c r="C150" s="657"/>
      <c r="D150" s="657">
        <v>15795757.379999995</v>
      </c>
      <c r="E150" s="657">
        <v>14946572.75</v>
      </c>
      <c r="F150" s="657">
        <v>15910568.240000002</v>
      </c>
      <c r="G150" s="647">
        <v>5994572.3199999928</v>
      </c>
      <c r="H150" s="530">
        <v>4226501.96</v>
      </c>
      <c r="I150" s="626" t="s">
        <v>704</v>
      </c>
      <c r="J150" s="617"/>
    </row>
    <row r="151" spans="1:10" ht="17.25" x14ac:dyDescent="0.25">
      <c r="A151" s="498" t="s">
        <v>301</v>
      </c>
      <c r="B151" s="719">
        <v>11563379.650000006</v>
      </c>
      <c r="C151" s="658"/>
      <c r="D151" s="658">
        <v>15438486.289999992</v>
      </c>
      <c r="E151" s="658">
        <v>14946572.750000007</v>
      </c>
      <c r="F151" s="658">
        <v>15910568.240000002</v>
      </c>
      <c r="G151" s="653">
        <v>5994572.3200000003</v>
      </c>
      <c r="H151" s="533">
        <v>4226501.96</v>
      </c>
      <c r="I151" s="625" t="s">
        <v>705</v>
      </c>
      <c r="J151" s="617"/>
    </row>
    <row r="152" spans="1:10" x14ac:dyDescent="0.25">
      <c r="A152" s="498"/>
      <c r="B152" s="639"/>
      <c r="C152" s="639"/>
      <c r="D152" s="639"/>
      <c r="E152" s="639"/>
      <c r="F152" s="639"/>
      <c r="G152" s="639"/>
      <c r="H152" s="502"/>
      <c r="J152" s="617"/>
    </row>
    <row r="153" spans="1:10" ht="15" customHeight="1" x14ac:dyDescent="0.25">
      <c r="A153" s="498"/>
      <c r="B153" s="639"/>
      <c r="C153" s="639"/>
      <c r="D153" s="639"/>
      <c r="E153" s="639"/>
      <c r="F153" s="639"/>
      <c r="G153" s="639"/>
      <c r="H153" s="502"/>
      <c r="J153" s="617"/>
    </row>
    <row r="154" spans="1:10" x14ac:dyDescent="0.25">
      <c r="A154" s="498"/>
      <c r="B154" s="639"/>
      <c r="C154" s="639"/>
      <c r="D154" s="639"/>
      <c r="E154" s="639"/>
      <c r="F154" s="639"/>
      <c r="G154" s="639"/>
      <c r="H154" s="502"/>
      <c r="J154" s="617"/>
    </row>
    <row r="155" spans="1:10" ht="17.25" x14ac:dyDescent="0.25">
      <c r="A155" s="498" t="s">
        <v>601</v>
      </c>
      <c r="B155" s="719">
        <v>94680</v>
      </c>
      <c r="C155" s="657"/>
      <c r="D155" s="657">
        <v>19330</v>
      </c>
      <c r="E155" s="657">
        <v>5000</v>
      </c>
      <c r="F155" s="657">
        <v>16585.5</v>
      </c>
      <c r="G155" s="647">
        <v>149700</v>
      </c>
      <c r="H155" s="530">
        <v>32632</v>
      </c>
      <c r="I155" s="626" t="s">
        <v>706</v>
      </c>
      <c r="J155" s="617"/>
    </row>
    <row r="156" spans="1:10" ht="17.25" x14ac:dyDescent="0.25">
      <c r="A156" s="498" t="s">
        <v>302</v>
      </c>
      <c r="B156" s="719">
        <v>59000</v>
      </c>
      <c r="C156" s="659"/>
      <c r="D156" s="659">
        <v>5000</v>
      </c>
      <c r="E156" s="659">
        <v>0</v>
      </c>
      <c r="F156" s="659">
        <v>6585.5</v>
      </c>
      <c r="G156" s="650">
        <v>28700</v>
      </c>
      <c r="H156" s="532">
        <v>27632</v>
      </c>
      <c r="I156" s="631" t="s">
        <v>707</v>
      </c>
      <c r="J156" s="617"/>
    </row>
    <row r="157" spans="1:10" ht="17.25" x14ac:dyDescent="0.25">
      <c r="A157" s="516" t="s">
        <v>458</v>
      </c>
      <c r="B157" s="719">
        <v>35680</v>
      </c>
      <c r="C157" s="659"/>
      <c r="D157" s="659">
        <v>14330</v>
      </c>
      <c r="E157" s="659">
        <v>5000</v>
      </c>
      <c r="F157" s="659">
        <v>10000</v>
      </c>
      <c r="G157" s="650">
        <v>121000</v>
      </c>
      <c r="H157" s="532">
        <v>5000</v>
      </c>
      <c r="I157" s="631" t="s">
        <v>708</v>
      </c>
      <c r="J157" s="617"/>
    </row>
    <row r="158" spans="1:10" ht="17.25" x14ac:dyDescent="0.25">
      <c r="A158" s="468" t="s">
        <v>627</v>
      </c>
      <c r="B158" s="719">
        <v>0</v>
      </c>
      <c r="C158" s="658"/>
      <c r="D158" s="658">
        <v>0</v>
      </c>
      <c r="E158" s="658">
        <v>0</v>
      </c>
      <c r="F158" s="658">
        <v>0</v>
      </c>
      <c r="G158" s="653">
        <v>0</v>
      </c>
      <c r="H158" s="533">
        <v>0</v>
      </c>
      <c r="I158" s="625" t="s">
        <v>709</v>
      </c>
      <c r="J158" s="617"/>
    </row>
    <row r="159" spans="1:10" ht="17.25" x14ac:dyDescent="0.25">
      <c r="A159" s="517" t="s">
        <v>605</v>
      </c>
      <c r="B159" s="719">
        <v>4100000</v>
      </c>
      <c r="C159" s="657"/>
      <c r="D159" s="657">
        <v>0</v>
      </c>
      <c r="E159" s="657">
        <v>23609311.859999999</v>
      </c>
      <c r="F159" s="657">
        <v>900000</v>
      </c>
      <c r="G159" s="638"/>
      <c r="H159" s="518"/>
      <c r="I159" s="712">
        <v>544</v>
      </c>
      <c r="J159" s="617"/>
    </row>
    <row r="160" spans="1:10" ht="17.25" x14ac:dyDescent="0.25">
      <c r="A160" s="517" t="s">
        <v>604</v>
      </c>
      <c r="B160" s="719">
        <v>4100000</v>
      </c>
      <c r="C160" s="658"/>
      <c r="D160" s="658">
        <v>0</v>
      </c>
      <c r="E160" s="658">
        <v>23609311.859999999</v>
      </c>
      <c r="F160" s="658">
        <v>900000</v>
      </c>
      <c r="G160" s="644"/>
      <c r="H160" s="466"/>
      <c r="I160" s="622">
        <v>544.02</v>
      </c>
      <c r="J160" s="617"/>
    </row>
    <row r="161" spans="1:11" ht="17.25" x14ac:dyDescent="0.25">
      <c r="A161" s="517" t="s">
        <v>606</v>
      </c>
      <c r="B161" s="719">
        <v>4100000</v>
      </c>
      <c r="C161" s="659"/>
      <c r="D161" s="659">
        <v>0</v>
      </c>
      <c r="E161" s="659">
        <v>23609311.859999999</v>
      </c>
      <c r="F161" s="659">
        <v>900000</v>
      </c>
      <c r="G161" s="638"/>
      <c r="H161" s="518"/>
      <c r="I161" s="622" t="s">
        <v>727</v>
      </c>
      <c r="J161" s="617"/>
    </row>
    <row r="162" spans="1:11" x14ac:dyDescent="0.25">
      <c r="A162" s="517" t="s">
        <v>607</v>
      </c>
      <c r="B162" s="638"/>
      <c r="C162" s="638"/>
      <c r="D162" s="638"/>
      <c r="E162" s="638"/>
      <c r="F162" s="638"/>
      <c r="G162" s="638"/>
      <c r="H162" s="518"/>
      <c r="I162" s="634"/>
      <c r="J162" s="617"/>
    </row>
    <row r="163" spans="1:11" x14ac:dyDescent="0.25">
      <c r="A163" s="516"/>
      <c r="B163" s="639"/>
      <c r="C163" s="639"/>
      <c r="D163" s="639"/>
      <c r="E163" s="639"/>
      <c r="F163" s="639"/>
      <c r="G163" s="639"/>
      <c r="H163" s="502"/>
      <c r="I163" s="634"/>
      <c r="J163" s="617"/>
    </row>
    <row r="164" spans="1:11" ht="17.25" x14ac:dyDescent="0.25">
      <c r="A164" s="498" t="s">
        <v>303</v>
      </c>
      <c r="B164" s="719">
        <v>12755.009999999776</v>
      </c>
      <c r="C164" s="650"/>
      <c r="D164" s="650">
        <v>5953533.7000000002</v>
      </c>
      <c r="E164" s="650">
        <v>4969012.3499999996</v>
      </c>
      <c r="F164" s="650">
        <v>0</v>
      </c>
      <c r="G164" s="647">
        <v>1805</v>
      </c>
      <c r="H164" s="518">
        <v>2.0299999999999998</v>
      </c>
      <c r="I164" s="622">
        <v>549</v>
      </c>
      <c r="J164" s="617"/>
    </row>
    <row r="165" spans="1:11" ht="17.25" x14ac:dyDescent="0.25">
      <c r="A165" s="498" t="s">
        <v>304</v>
      </c>
      <c r="B165" s="719">
        <v>12755.009999999776</v>
      </c>
      <c r="C165" s="650"/>
      <c r="D165" s="650">
        <v>5953533.7000000002</v>
      </c>
      <c r="E165" s="650">
        <v>4969012.3499999996</v>
      </c>
      <c r="F165" s="650">
        <v>0</v>
      </c>
      <c r="G165" s="653">
        <v>1805</v>
      </c>
      <c r="H165" s="518">
        <v>2.0300000000000002</v>
      </c>
      <c r="I165" s="622">
        <v>549.99</v>
      </c>
      <c r="J165" s="617"/>
    </row>
    <row r="166" spans="1:11" x14ac:dyDescent="0.25">
      <c r="A166" s="495"/>
      <c r="H166" s="496"/>
      <c r="J166" s="617"/>
    </row>
    <row r="167" spans="1:11" ht="17.25" x14ac:dyDescent="0.25">
      <c r="A167" s="497" t="s">
        <v>630</v>
      </c>
      <c r="B167" s="719">
        <v>135510</v>
      </c>
      <c r="C167" s="650"/>
      <c r="D167" s="650">
        <v>2709150</v>
      </c>
      <c r="E167" s="650">
        <v>12000.050000000745</v>
      </c>
      <c r="F167" s="650">
        <v>37000</v>
      </c>
      <c r="G167" s="646">
        <v>12000</v>
      </c>
      <c r="H167" s="529">
        <v>12250</v>
      </c>
      <c r="I167" s="630" t="s">
        <v>710</v>
      </c>
      <c r="J167" s="617"/>
    </row>
    <row r="168" spans="1:11" ht="17.25" x14ac:dyDescent="0.25">
      <c r="A168" s="498" t="s">
        <v>305</v>
      </c>
      <c r="B168" s="719">
        <v>135510</v>
      </c>
      <c r="C168" s="650"/>
      <c r="D168" s="650">
        <v>159150</v>
      </c>
      <c r="E168" s="650">
        <v>12000</v>
      </c>
      <c r="F168" s="650">
        <v>37000</v>
      </c>
      <c r="G168" s="653">
        <v>12000</v>
      </c>
      <c r="H168" s="533">
        <v>12000</v>
      </c>
      <c r="I168" s="625" t="s">
        <v>711</v>
      </c>
      <c r="J168" s="617"/>
    </row>
    <row r="169" spans="1:11" x14ac:dyDescent="0.25">
      <c r="A169" s="519" t="s">
        <v>615</v>
      </c>
      <c r="B169" s="640"/>
      <c r="C169" s="640"/>
      <c r="D169" s="640"/>
      <c r="E169" s="640"/>
      <c r="F169" s="640"/>
      <c r="G169" s="640"/>
      <c r="H169" s="506"/>
      <c r="J169" s="617"/>
    </row>
    <row r="170" spans="1:11" ht="17.25" x14ac:dyDescent="0.25">
      <c r="A170" s="519" t="s">
        <v>630</v>
      </c>
      <c r="B170" s="719">
        <v>0</v>
      </c>
      <c r="C170" s="650"/>
      <c r="D170" s="650">
        <v>0</v>
      </c>
      <c r="E170" s="650">
        <v>5.0000000000011369E-2</v>
      </c>
      <c r="F170" s="650">
        <v>0</v>
      </c>
      <c r="G170" s="653">
        <v>0</v>
      </c>
      <c r="H170" s="506">
        <v>250</v>
      </c>
      <c r="I170" s="635">
        <v>561.99</v>
      </c>
      <c r="J170" s="617"/>
    </row>
    <row r="171" spans="1:11" ht="17.25" x14ac:dyDescent="0.25">
      <c r="A171" s="495" t="s">
        <v>629</v>
      </c>
      <c r="B171" s="719">
        <v>0</v>
      </c>
      <c r="C171" s="650"/>
      <c r="D171" s="650">
        <v>2550000</v>
      </c>
      <c r="E171" s="650">
        <v>0</v>
      </c>
      <c r="F171" s="650">
        <v>0</v>
      </c>
      <c r="G171" s="647">
        <v>0</v>
      </c>
      <c r="H171" s="530"/>
      <c r="I171" s="636" t="s">
        <v>712</v>
      </c>
      <c r="J171" s="617"/>
    </row>
    <row r="172" spans="1:11" x14ac:dyDescent="0.25">
      <c r="A172" s="495"/>
      <c r="H172" s="496"/>
      <c r="J172" s="619"/>
    </row>
    <row r="173" spans="1:11" ht="17.25" x14ac:dyDescent="0.25">
      <c r="A173" s="494" t="s">
        <v>306</v>
      </c>
      <c r="B173" s="719">
        <v>561039667.04999995</v>
      </c>
      <c r="C173" s="650"/>
      <c r="D173" s="650">
        <v>248489657.93000007</v>
      </c>
      <c r="E173" s="650">
        <v>256075911.75999999</v>
      </c>
      <c r="F173" s="650">
        <v>230865673.05000019</v>
      </c>
      <c r="G173" s="650">
        <v>223199094.4599998</v>
      </c>
      <c r="H173" s="531">
        <v>207221388.70000005</v>
      </c>
      <c r="I173" s="622">
        <v>5</v>
      </c>
      <c r="J173" s="619"/>
    </row>
    <row r="174" spans="1:11" x14ac:dyDescent="0.25">
      <c r="I174" s="634"/>
      <c r="J174" s="619"/>
      <c r="K174" s="870"/>
    </row>
    <row r="175" spans="1:11" ht="47.25" x14ac:dyDescent="0.25">
      <c r="A175" s="535" t="s">
        <v>555</v>
      </c>
      <c r="B175" s="719">
        <v>3462990.629999999</v>
      </c>
      <c r="C175" s="650"/>
      <c r="D175" s="650">
        <v>2674591.5099999979</v>
      </c>
      <c r="E175" s="650">
        <v>76425.939999999944</v>
      </c>
      <c r="F175" s="650">
        <v>2585471.0199999996</v>
      </c>
      <c r="G175" s="650">
        <v>2800994.09</v>
      </c>
      <c r="H175" s="532">
        <v>2536486.8100000005</v>
      </c>
      <c r="I175" s="637"/>
      <c r="J175" s="619"/>
      <c r="K175" s="870"/>
    </row>
    <row r="176" spans="1:11" ht="17.25" x14ac:dyDescent="0.25">
      <c r="A176" s="470" t="s">
        <v>556</v>
      </c>
      <c r="B176" s="719">
        <v>84171.969999999972</v>
      </c>
      <c r="C176" s="650"/>
      <c r="D176" s="650">
        <v>84079.940000000061</v>
      </c>
      <c r="E176" s="650">
        <v>70942</v>
      </c>
      <c r="F176" s="650">
        <v>124722</v>
      </c>
      <c r="G176" s="650">
        <v>83239.800000000047</v>
      </c>
      <c r="H176" s="532">
        <v>80321.079999999958</v>
      </c>
      <c r="I176" s="634"/>
      <c r="K176" s="870"/>
    </row>
    <row r="177" spans="1:9" ht="17.25" x14ac:dyDescent="0.25">
      <c r="A177" s="470" t="s">
        <v>557</v>
      </c>
      <c r="B177" s="719">
        <v>45115</v>
      </c>
      <c r="C177" s="650"/>
      <c r="D177" s="650">
        <v>43615</v>
      </c>
      <c r="E177" s="650">
        <v>2686943.5100000016</v>
      </c>
      <c r="F177" s="650">
        <v>44140</v>
      </c>
      <c r="G177" s="650">
        <v>34240</v>
      </c>
      <c r="H177" s="532">
        <v>36540</v>
      </c>
      <c r="I177" s="634"/>
    </row>
    <row r="179" spans="1:9" x14ac:dyDescent="0.25">
      <c r="B179" s="520"/>
      <c r="C179" s="520"/>
      <c r="D179" s="520"/>
      <c r="E179" s="520"/>
      <c r="F179" s="520"/>
      <c r="G179" s="520"/>
      <c r="H179" s="520"/>
    </row>
    <row r="180" spans="1:9" x14ac:dyDescent="0.25">
      <c r="A180" s="470" t="s">
        <v>619</v>
      </c>
      <c r="B180" s="520"/>
      <c r="C180" s="520"/>
      <c r="D180" s="520"/>
      <c r="E180" s="520"/>
      <c r="F180" s="520"/>
      <c r="G180" s="520"/>
      <c r="H180" s="520"/>
    </row>
    <row r="181" spans="1:9" x14ac:dyDescent="0.25">
      <c r="B181" s="520"/>
      <c r="C181" s="520"/>
      <c r="D181" s="520"/>
      <c r="E181" s="520"/>
      <c r="F181" s="520"/>
      <c r="G181" s="520"/>
      <c r="H181" s="520"/>
    </row>
    <row r="182" spans="1:9" x14ac:dyDescent="0.25">
      <c r="A182" s="521" t="s">
        <v>384</v>
      </c>
    </row>
    <row r="184" spans="1:9" x14ac:dyDescent="0.25">
      <c r="A184" s="521" t="s">
        <v>395</v>
      </c>
      <c r="B184" s="522"/>
      <c r="C184" s="522"/>
      <c r="D184" s="522"/>
      <c r="E184" s="522"/>
      <c r="F184" s="522"/>
      <c r="G184" s="522"/>
      <c r="H184" s="522"/>
    </row>
    <row r="185" spans="1:9" x14ac:dyDescent="0.25">
      <c r="A185" s="521"/>
    </row>
    <row r="186" spans="1:9" x14ac:dyDescent="0.25">
      <c r="B186" s="520"/>
      <c r="C186" s="520"/>
      <c r="D186" s="520"/>
      <c r="E186" s="520"/>
      <c r="F186" s="520"/>
      <c r="G186" s="520"/>
      <c r="H186" s="520"/>
    </row>
    <row r="187" spans="1:9" x14ac:dyDescent="0.25">
      <c r="A187" s="521" t="s">
        <v>401</v>
      </c>
    </row>
    <row r="189" spans="1:9" x14ac:dyDescent="0.25">
      <c r="A189" s="521" t="s">
        <v>414</v>
      </c>
      <c r="B189" s="522"/>
      <c r="C189" s="522"/>
      <c r="D189" s="522"/>
      <c r="E189" s="522"/>
      <c r="F189" s="522"/>
      <c r="G189" s="522"/>
      <c r="H189" s="522"/>
    </row>
    <row r="191" spans="1:9" x14ac:dyDescent="0.25">
      <c r="A191" s="521" t="s">
        <v>417</v>
      </c>
      <c r="B191" s="522"/>
      <c r="C191" s="522"/>
      <c r="D191" s="522"/>
      <c r="E191" s="522"/>
      <c r="F191" s="522"/>
      <c r="G191" s="522"/>
      <c r="H191" s="522"/>
    </row>
    <row r="192" spans="1:9" x14ac:dyDescent="0.25">
      <c r="A192" s="521" t="s">
        <v>422</v>
      </c>
      <c r="B192" s="522"/>
      <c r="C192" s="522"/>
      <c r="D192" s="522"/>
      <c r="E192" s="522"/>
      <c r="F192" s="522"/>
      <c r="G192" s="522"/>
      <c r="H192" s="522"/>
    </row>
    <row r="193" spans="1:8" x14ac:dyDescent="0.25">
      <c r="B193" s="523"/>
      <c r="C193" s="523"/>
      <c r="D193" s="523"/>
      <c r="E193" s="523"/>
      <c r="F193" s="523"/>
      <c r="G193" s="523"/>
      <c r="H193" s="523"/>
    </row>
    <row r="194" spans="1:8" x14ac:dyDescent="0.25">
      <c r="A194" s="521" t="s">
        <v>443</v>
      </c>
      <c r="B194" s="522"/>
      <c r="C194" s="522"/>
      <c r="D194" s="522"/>
      <c r="E194" s="522"/>
      <c r="F194" s="522"/>
      <c r="G194" s="522"/>
      <c r="H194" s="522"/>
    </row>
    <row r="195" spans="1:8" x14ac:dyDescent="0.25">
      <c r="B195" s="520"/>
      <c r="C195" s="520"/>
      <c r="D195" s="520"/>
      <c r="E195" s="520"/>
      <c r="F195" s="520"/>
      <c r="G195" s="520"/>
      <c r="H195" s="520"/>
    </row>
    <row r="196" spans="1:8" x14ac:dyDescent="0.25">
      <c r="A196" s="524"/>
      <c r="B196" s="522"/>
      <c r="C196" s="522"/>
      <c r="D196" s="522"/>
      <c r="E196" s="522"/>
      <c r="F196" s="522"/>
      <c r="G196" s="522"/>
      <c r="H196" s="522"/>
    </row>
    <row r="197" spans="1:8" x14ac:dyDescent="0.25">
      <c r="A197" s="521" t="s">
        <v>459</v>
      </c>
      <c r="B197" s="522"/>
      <c r="C197" s="522"/>
      <c r="D197" s="522"/>
      <c r="E197" s="522"/>
      <c r="F197" s="522"/>
      <c r="G197" s="522"/>
      <c r="H197" s="522"/>
    </row>
    <row r="199" spans="1:8" x14ac:dyDescent="0.25">
      <c r="A199" s="521" t="s">
        <v>464</v>
      </c>
    </row>
    <row r="201" spans="1:8" x14ac:dyDescent="0.25">
      <c r="A201" s="521" t="s">
        <v>488</v>
      </c>
    </row>
    <row r="204" spans="1:8" x14ac:dyDescent="0.25">
      <c r="A204" s="521" t="s">
        <v>562</v>
      </c>
    </row>
    <row r="206" spans="1:8" x14ac:dyDescent="0.25">
      <c r="A206" s="470" t="s">
        <v>563</v>
      </c>
    </row>
  </sheetData>
  <mergeCells count="5">
    <mergeCell ref="K174:K176"/>
    <mergeCell ref="J2:J3"/>
    <mergeCell ref="J6:J7"/>
    <mergeCell ref="J10:J11"/>
    <mergeCell ref="J14:J15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8"/>
  <sheetViews>
    <sheetView workbookViewId="0">
      <selection activeCell="D8" sqref="D8"/>
    </sheetView>
  </sheetViews>
  <sheetFormatPr defaultColWidth="11.42578125" defaultRowHeight="12.75" x14ac:dyDescent="0.2"/>
  <cols>
    <col min="1" max="1" width="36.28515625" customWidth="1"/>
    <col min="2" max="3" width="18.5703125" bestFit="1" customWidth="1"/>
    <col min="4" max="4" width="17" customWidth="1"/>
    <col min="5" max="5" width="21.85546875" customWidth="1"/>
    <col min="6" max="6" width="14.85546875" bestFit="1" customWidth="1"/>
    <col min="7" max="7" width="13.7109375" bestFit="1" customWidth="1"/>
  </cols>
  <sheetData>
    <row r="1" spans="1:5" ht="15.75" x14ac:dyDescent="0.25">
      <c r="A1" s="874" t="s">
        <v>307</v>
      </c>
      <c r="B1" s="874"/>
      <c r="C1" s="874"/>
      <c r="D1" s="874"/>
    </row>
    <row r="2" spans="1:5" x14ac:dyDescent="0.2">
      <c r="A2" s="875" t="s">
        <v>308</v>
      </c>
      <c r="B2" s="875"/>
      <c r="C2" s="875"/>
      <c r="D2" s="875"/>
    </row>
    <row r="3" spans="1:5" x14ac:dyDescent="0.2">
      <c r="A3" s="875" t="s">
        <v>309</v>
      </c>
      <c r="B3" s="875"/>
      <c r="C3" s="875"/>
      <c r="D3" s="875"/>
    </row>
    <row r="4" spans="1:5" x14ac:dyDescent="0.2">
      <c r="A4" s="876">
        <v>44071</v>
      </c>
      <c r="B4" s="875"/>
      <c r="C4" s="875"/>
      <c r="D4" s="875"/>
    </row>
    <row r="5" spans="1:5" x14ac:dyDescent="0.2">
      <c r="A5" s="875" t="s">
        <v>310</v>
      </c>
      <c r="B5" s="875"/>
      <c r="C5" s="875"/>
      <c r="D5" s="875"/>
    </row>
    <row r="7" spans="1:5" x14ac:dyDescent="0.2">
      <c r="A7" s="77" t="s">
        <v>311</v>
      </c>
      <c r="B7" s="78" t="s">
        <v>737</v>
      </c>
      <c r="C7" s="78" t="s">
        <v>736</v>
      </c>
      <c r="D7" s="77" t="s">
        <v>312</v>
      </c>
      <c r="E7" s="79"/>
    </row>
    <row r="8" spans="1:5" x14ac:dyDescent="0.2">
      <c r="A8" t="s">
        <v>313</v>
      </c>
      <c r="B8" s="462">
        <v>2306503816.9299998</v>
      </c>
      <c r="C8" s="717">
        <v>2733782057.6100001</v>
      </c>
      <c r="D8" s="81">
        <f>+B8-C8</f>
        <v>-427278240.68000031</v>
      </c>
      <c r="E8" s="80"/>
    </row>
    <row r="9" spans="1:5" x14ac:dyDescent="0.2">
      <c r="B9" s="461"/>
      <c r="C9" s="461"/>
      <c r="D9" s="80"/>
      <c r="E9" s="80"/>
    </row>
    <row r="10" spans="1:5" x14ac:dyDescent="0.2">
      <c r="A10" t="s">
        <v>314</v>
      </c>
      <c r="B10" s="462">
        <v>749018606.84000003</v>
      </c>
      <c r="C10" s="717">
        <v>743073439.34000003</v>
      </c>
      <c r="D10" s="80">
        <f>+B10-C10</f>
        <v>5945167.5</v>
      </c>
      <c r="E10" s="80"/>
    </row>
    <row r="11" spans="1:5" x14ac:dyDescent="0.2">
      <c r="B11" s="461"/>
      <c r="C11" s="461"/>
      <c r="D11" s="80">
        <f t="shared" ref="D11:D16" si="0">+B11-C11</f>
        <v>0</v>
      </c>
      <c r="E11" s="80"/>
    </row>
    <row r="12" spans="1:5" x14ac:dyDescent="0.2">
      <c r="A12" t="s">
        <v>315</v>
      </c>
      <c r="B12" s="462">
        <v>34484007060.489998</v>
      </c>
      <c r="C12" s="717">
        <v>34668745625.230003</v>
      </c>
      <c r="D12" s="80">
        <f>+B12-C12</f>
        <v>-184738564.74000549</v>
      </c>
      <c r="E12" s="80"/>
    </row>
    <row r="13" spans="1:5" x14ac:dyDescent="0.2">
      <c r="B13" s="461"/>
      <c r="C13" s="461"/>
      <c r="D13" s="80">
        <f t="shared" si="0"/>
        <v>0</v>
      </c>
      <c r="E13" s="80"/>
    </row>
    <row r="14" spans="1:5" x14ac:dyDescent="0.2">
      <c r="A14" t="s">
        <v>314</v>
      </c>
      <c r="B14" s="462">
        <v>749018606.84000003</v>
      </c>
      <c r="C14" s="717">
        <v>743073439.34000003</v>
      </c>
      <c r="D14" s="80">
        <f t="shared" si="0"/>
        <v>5945167.5</v>
      </c>
      <c r="E14" s="80"/>
    </row>
    <row r="15" spans="1:5" x14ac:dyDescent="0.2">
      <c r="B15" s="461"/>
      <c r="C15" s="461"/>
      <c r="D15" s="80">
        <f t="shared" si="0"/>
        <v>0</v>
      </c>
      <c r="E15" s="80"/>
    </row>
    <row r="16" spans="1:5" x14ac:dyDescent="0.2">
      <c r="A16" t="s">
        <v>316</v>
      </c>
      <c r="B16" s="462">
        <v>225875458.67000002</v>
      </c>
      <c r="C16" s="717">
        <v>218313607.12</v>
      </c>
      <c r="D16" s="80">
        <f t="shared" si="0"/>
        <v>7561851.5500000119</v>
      </c>
      <c r="E16" s="80"/>
    </row>
    <row r="17" spans="1:7" x14ac:dyDescent="0.2">
      <c r="B17" s="461"/>
      <c r="C17" s="461"/>
      <c r="D17" s="80"/>
      <c r="E17" s="80"/>
      <c r="G17" s="465"/>
    </row>
    <row r="18" spans="1:7" x14ac:dyDescent="0.2">
      <c r="A18" t="s">
        <v>317</v>
      </c>
      <c r="B18" s="462">
        <v>1286028196.28</v>
      </c>
      <c r="C18" s="717">
        <v>1289099044.6700001</v>
      </c>
      <c r="D18" s="81">
        <f>+B18-C18</f>
        <v>-3070848.3900001049</v>
      </c>
      <c r="E18" s="80"/>
    </row>
    <row r="19" spans="1:7" x14ac:dyDescent="0.2">
      <c r="B19" s="461"/>
      <c r="C19" s="461"/>
      <c r="D19" s="80"/>
      <c r="F19" s="82"/>
    </row>
    <row r="20" spans="1:7" x14ac:dyDescent="0.2">
      <c r="A20" t="s">
        <v>318</v>
      </c>
      <c r="B20" s="462">
        <v>10473126051.030001</v>
      </c>
      <c r="C20" s="717">
        <v>6334614244.04</v>
      </c>
      <c r="D20" s="80">
        <f>+B20-C20</f>
        <v>4138511806.9900007</v>
      </c>
    </row>
    <row r="21" spans="1:7" x14ac:dyDescent="0.2">
      <c r="B21" s="461"/>
      <c r="C21" s="461"/>
      <c r="D21" s="80"/>
    </row>
    <row r="22" spans="1:7" s="86" customFormat="1" ht="13.5" thickBot="1" x14ac:dyDescent="0.25">
      <c r="A22" s="83" t="s">
        <v>15</v>
      </c>
      <c r="B22" s="463">
        <v>39522885386.730003</v>
      </c>
      <c r="C22" s="718">
        <v>40130925287.949997</v>
      </c>
      <c r="D22" s="84">
        <f>+B22-C22</f>
        <v>-608039901.21999359</v>
      </c>
      <c r="E22" s="85"/>
    </row>
    <row r="23" spans="1:7" ht="13.5" thickTop="1" x14ac:dyDescent="0.2">
      <c r="B23" s="80"/>
      <c r="C23" s="80"/>
      <c r="D23" s="80"/>
    </row>
    <row r="24" spans="1:7" x14ac:dyDescent="0.2">
      <c r="A24" s="87" t="s">
        <v>319</v>
      </c>
      <c r="B24" s="80"/>
      <c r="C24" s="80"/>
      <c r="D24" s="80"/>
    </row>
    <row r="25" spans="1:7" x14ac:dyDescent="0.2">
      <c r="A25" t="s">
        <v>320</v>
      </c>
      <c r="B25" s="458"/>
      <c r="C25" s="458">
        <v>8641576474.4400005</v>
      </c>
      <c r="D25" s="80">
        <f>+B25-C25</f>
        <v>-8641576474.4400005</v>
      </c>
    </row>
    <row r="26" spans="1:7" x14ac:dyDescent="0.2">
      <c r="B26" s="80"/>
      <c r="C26" s="80"/>
      <c r="D26" s="80"/>
    </row>
    <row r="27" spans="1:7" x14ac:dyDescent="0.2">
      <c r="A27" t="s">
        <v>321</v>
      </c>
      <c r="B27" s="458"/>
      <c r="C27" s="458">
        <v>1912083138.3299999</v>
      </c>
      <c r="D27" s="80">
        <f>+B27-C27</f>
        <v>-1912083138.3299999</v>
      </c>
    </row>
    <row r="28" spans="1:7" x14ac:dyDescent="0.2">
      <c r="B28" s="80"/>
      <c r="C28" s="80"/>
      <c r="D28" s="80"/>
    </row>
    <row r="29" spans="1:7" x14ac:dyDescent="0.2">
      <c r="A29" t="s">
        <v>322</v>
      </c>
      <c r="B29" s="458"/>
      <c r="C29" s="458">
        <v>3251083339.98</v>
      </c>
      <c r="D29" s="80">
        <f>+B29-C29</f>
        <v>-3251083339.98</v>
      </c>
    </row>
    <row r="30" spans="1:7" x14ac:dyDescent="0.2">
      <c r="B30" s="80"/>
      <c r="C30" s="80"/>
      <c r="D30" s="80"/>
    </row>
    <row r="31" spans="1:7" x14ac:dyDescent="0.2">
      <c r="A31" t="s">
        <v>323</v>
      </c>
      <c r="B31" s="526"/>
      <c r="C31" s="526">
        <v>2187682152</v>
      </c>
      <c r="D31" s="80">
        <f>+B31-C31</f>
        <v>-2187682152</v>
      </c>
    </row>
    <row r="32" spans="1:7" x14ac:dyDescent="0.2">
      <c r="B32" s="80"/>
      <c r="C32" s="80"/>
      <c r="D32" s="80"/>
    </row>
    <row r="33" spans="1:5" x14ac:dyDescent="0.2">
      <c r="A33" t="s">
        <v>324</v>
      </c>
      <c r="B33" s="458"/>
      <c r="C33" s="458">
        <v>499495122</v>
      </c>
      <c r="D33" s="80">
        <f>+B33-C33</f>
        <v>-499495122</v>
      </c>
    </row>
    <row r="34" spans="1:5" x14ac:dyDescent="0.2">
      <c r="B34" s="80"/>
      <c r="C34" s="80"/>
      <c r="D34" s="80"/>
    </row>
    <row r="35" spans="1:5" x14ac:dyDescent="0.2">
      <c r="A35" t="s">
        <v>325</v>
      </c>
      <c r="B35" s="458"/>
      <c r="C35" s="458"/>
      <c r="D35" s="80">
        <f>+B35-C35</f>
        <v>0</v>
      </c>
    </row>
    <row r="36" spans="1:5" x14ac:dyDescent="0.2">
      <c r="B36" s="80"/>
      <c r="C36" s="80"/>
      <c r="D36" s="80"/>
    </row>
    <row r="37" spans="1:5" x14ac:dyDescent="0.2">
      <c r="A37" t="s">
        <v>326</v>
      </c>
      <c r="B37" s="458"/>
      <c r="C37" s="458"/>
      <c r="D37" s="88">
        <f>+B37-C37</f>
        <v>0</v>
      </c>
    </row>
    <row r="38" spans="1:5" x14ac:dyDescent="0.2">
      <c r="B38" s="80"/>
      <c r="C38" s="80"/>
      <c r="D38" s="80"/>
    </row>
    <row r="39" spans="1:5" x14ac:dyDescent="0.2">
      <c r="A39" s="89" t="s">
        <v>327</v>
      </c>
      <c r="B39" s="458"/>
      <c r="C39" s="458">
        <v>18110777916</v>
      </c>
      <c r="D39" s="90">
        <f>+B39-C39</f>
        <v>-18110777916</v>
      </c>
    </row>
    <row r="40" spans="1:5" x14ac:dyDescent="0.2">
      <c r="B40" s="80"/>
      <c r="C40" s="80"/>
      <c r="D40" s="80"/>
    </row>
    <row r="41" spans="1:5" x14ac:dyDescent="0.2">
      <c r="A41" s="89" t="s">
        <v>328</v>
      </c>
      <c r="B41" s="458"/>
      <c r="C41" s="458">
        <v>12727620849</v>
      </c>
      <c r="D41" s="80"/>
    </row>
    <row r="42" spans="1:5" x14ac:dyDescent="0.2">
      <c r="A42" t="s">
        <v>328</v>
      </c>
      <c r="B42" s="458"/>
      <c r="C42" s="458"/>
      <c r="D42" s="80">
        <f>+B42-C42</f>
        <v>0</v>
      </c>
    </row>
    <row r="43" spans="1:5" x14ac:dyDescent="0.2">
      <c r="A43" t="s">
        <v>329</v>
      </c>
      <c r="B43" s="88"/>
      <c r="C43" s="88">
        <v>260414431.00999999</v>
      </c>
      <c r="D43" s="88">
        <f>+B43-C43</f>
        <v>-260414431.00999999</v>
      </c>
    </row>
    <row r="44" spans="1:5" x14ac:dyDescent="0.2">
      <c r="A44" s="89" t="s">
        <v>15</v>
      </c>
      <c r="B44" s="80"/>
      <c r="C44" s="80"/>
      <c r="D44" s="80">
        <f>+B44-C44</f>
        <v>0</v>
      </c>
    </row>
    <row r="45" spans="1:5" x14ac:dyDescent="0.2">
      <c r="B45" s="80"/>
      <c r="C45" s="80"/>
      <c r="D45" s="80"/>
    </row>
    <row r="46" spans="1:5" ht="13.5" thickBot="1" x14ac:dyDescent="0.25">
      <c r="A46" s="83" t="s">
        <v>330</v>
      </c>
      <c r="B46" s="84"/>
      <c r="C46" s="84">
        <v>30838398765</v>
      </c>
      <c r="D46" s="84">
        <f>+B46-C46</f>
        <v>-30838398765</v>
      </c>
      <c r="E46" s="91"/>
    </row>
    <row r="47" spans="1:5" ht="13.5" thickTop="1" x14ac:dyDescent="0.2">
      <c r="B47" s="80"/>
      <c r="C47" s="80"/>
      <c r="E47" s="91"/>
    </row>
    <row r="48" spans="1:5" x14ac:dyDescent="0.2">
      <c r="B48" s="91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79"/>
  <sheetViews>
    <sheetView tabSelected="1" zoomScaleNormal="100" workbookViewId="0">
      <selection activeCell="K22" sqref="K22"/>
    </sheetView>
  </sheetViews>
  <sheetFormatPr defaultColWidth="11.42578125" defaultRowHeight="12.75" x14ac:dyDescent="0.2"/>
  <cols>
    <col min="1" max="1" width="1.5703125" style="1" customWidth="1"/>
    <col min="2" max="2" width="6.28515625" style="1" customWidth="1"/>
    <col min="3" max="3" width="7.7109375" style="1" customWidth="1"/>
    <col min="4" max="4" width="6.7109375" style="1" customWidth="1"/>
    <col min="5" max="5" width="8" style="1" bestFit="1" customWidth="1"/>
    <col min="6" max="6" width="7.5703125" style="1" bestFit="1" customWidth="1"/>
    <col min="7" max="7" width="42.140625" style="1" customWidth="1"/>
    <col min="8" max="8" width="11.28515625" style="1" customWidth="1"/>
    <col min="9" max="9" width="15.85546875" style="1" bestFit="1" customWidth="1"/>
    <col min="10" max="10" width="4.85546875" style="1" customWidth="1"/>
    <col min="11" max="11" width="59.42578125" style="1" customWidth="1"/>
    <col min="12" max="12" width="12" style="721" hidden="1" customWidth="1"/>
    <col min="13" max="14" width="12" style="1" bestFit="1" customWidth="1"/>
    <col min="15" max="15" width="6.7109375" style="1" customWidth="1"/>
    <col min="16" max="16" width="5.5703125" style="1" bestFit="1" customWidth="1"/>
    <col min="17" max="16384" width="11.42578125" style="1"/>
  </cols>
  <sheetData>
    <row r="1" spans="2:13" ht="13.5" thickBot="1" x14ac:dyDescent="0.25"/>
    <row r="2" spans="2:13" x14ac:dyDescent="0.2">
      <c r="B2" s="723"/>
      <c r="C2" s="724"/>
      <c r="D2" s="724"/>
      <c r="E2" s="724"/>
      <c r="F2" s="724"/>
      <c r="G2" s="724"/>
      <c r="H2" s="724"/>
      <c r="I2" s="724"/>
      <c r="J2" s="28">
        <v>1</v>
      </c>
    </row>
    <row r="3" spans="2:13" ht="18" x14ac:dyDescent="0.25">
      <c r="B3" s="725" t="s">
        <v>0</v>
      </c>
      <c r="C3" s="726"/>
      <c r="D3" s="726"/>
      <c r="E3" s="726"/>
      <c r="F3" s="726"/>
      <c r="G3" s="726"/>
      <c r="H3" s="726"/>
      <c r="I3" s="726"/>
      <c r="J3" s="2"/>
    </row>
    <row r="4" spans="2:13" ht="14.25" x14ac:dyDescent="0.3">
      <c r="B4" s="3"/>
      <c r="H4" s="735" t="s">
        <v>34</v>
      </c>
      <c r="I4" s="735"/>
      <c r="J4" s="2"/>
    </row>
    <row r="5" spans="2:13" x14ac:dyDescent="0.2">
      <c r="B5" s="3"/>
      <c r="J5" s="2"/>
    </row>
    <row r="6" spans="2:13" ht="15.75" x14ac:dyDescent="0.25">
      <c r="B6" s="9" t="s">
        <v>16</v>
      </c>
      <c r="C6" s="11"/>
      <c r="D6" s="11"/>
      <c r="H6" s="11" t="s">
        <v>226</v>
      </c>
      <c r="I6" s="21"/>
      <c r="J6" s="2"/>
    </row>
    <row r="7" spans="2:13" ht="15.75" x14ac:dyDescent="0.25">
      <c r="B7" s="9" t="s">
        <v>17</v>
      </c>
      <c r="C7" s="11"/>
      <c r="D7" s="11"/>
      <c r="H7" s="11" t="s">
        <v>1</v>
      </c>
      <c r="I7" s="21"/>
      <c r="J7" s="2"/>
    </row>
    <row r="8" spans="2:13" x14ac:dyDescent="0.2">
      <c r="B8" s="9" t="s">
        <v>735</v>
      </c>
      <c r="C8" s="11"/>
      <c r="D8" s="11"/>
      <c r="H8" s="11" t="s">
        <v>2</v>
      </c>
      <c r="I8" s="21"/>
      <c r="J8" s="2"/>
    </row>
    <row r="9" spans="2:13" ht="13.5" thickBot="1" x14ac:dyDescent="0.25">
      <c r="B9" s="536" t="s">
        <v>618</v>
      </c>
      <c r="C9" s="18"/>
      <c r="D9" s="18"/>
      <c r="E9" s="18"/>
      <c r="F9" s="18"/>
      <c r="G9" s="18"/>
      <c r="H9" s="18" t="s">
        <v>3</v>
      </c>
      <c r="I9" s="18"/>
      <c r="J9" s="449"/>
      <c r="M9" s="33"/>
    </row>
    <row r="10" spans="2:13" ht="13.5" thickBot="1" x14ac:dyDescent="0.25">
      <c r="H10" s="360"/>
      <c r="M10" s="33"/>
    </row>
    <row r="11" spans="2:13" x14ac:dyDescent="0.2">
      <c r="B11" s="727" t="s">
        <v>14</v>
      </c>
      <c r="C11" s="728"/>
      <c r="D11" s="728"/>
      <c r="E11" s="728"/>
      <c r="F11" s="729"/>
      <c r="G11" s="197"/>
      <c r="H11" s="415"/>
      <c r="I11" s="197" t="s">
        <v>14</v>
      </c>
      <c r="J11" s="22"/>
      <c r="M11" s="33"/>
    </row>
    <row r="12" spans="2:13" x14ac:dyDescent="0.2">
      <c r="B12" s="733" t="s">
        <v>10</v>
      </c>
      <c r="C12" s="722"/>
      <c r="D12" s="722"/>
      <c r="E12" s="722"/>
      <c r="F12" s="734"/>
      <c r="G12" s="199"/>
      <c r="H12" s="10"/>
      <c r="I12" s="199"/>
      <c r="J12" s="2"/>
      <c r="M12" s="33"/>
    </row>
    <row r="13" spans="2:13" x14ac:dyDescent="0.2">
      <c r="B13" s="198"/>
      <c r="C13" s="199"/>
      <c r="D13" s="199"/>
      <c r="E13" s="199"/>
      <c r="F13" s="200"/>
      <c r="G13" s="199" t="s">
        <v>5</v>
      </c>
      <c r="H13" s="10" t="s">
        <v>6</v>
      </c>
      <c r="I13" s="199" t="s">
        <v>7</v>
      </c>
      <c r="J13" s="2"/>
      <c r="M13" s="33"/>
    </row>
    <row r="14" spans="2:13" x14ac:dyDescent="0.2">
      <c r="B14" s="730" t="s">
        <v>9</v>
      </c>
      <c r="C14" s="731"/>
      <c r="D14" s="731"/>
      <c r="E14" s="731"/>
      <c r="F14" s="732"/>
      <c r="G14" s="11"/>
      <c r="H14" s="10" t="s">
        <v>14</v>
      </c>
      <c r="I14" s="199" t="s">
        <v>8</v>
      </c>
      <c r="J14" s="2"/>
      <c r="M14" s="33"/>
    </row>
    <row r="15" spans="2:13" ht="13.5" thickBot="1" x14ac:dyDescent="0.25">
      <c r="B15" s="361" t="s">
        <v>192</v>
      </c>
      <c r="C15" s="34" t="s">
        <v>193</v>
      </c>
      <c r="D15" s="13" t="s">
        <v>194</v>
      </c>
      <c r="E15" s="12" t="s">
        <v>195</v>
      </c>
      <c r="F15" s="13" t="s">
        <v>196</v>
      </c>
      <c r="G15" s="26" t="s">
        <v>11</v>
      </c>
      <c r="H15" s="14" t="s">
        <v>12</v>
      </c>
      <c r="I15" s="15" t="s">
        <v>13</v>
      </c>
      <c r="J15" s="27"/>
    </row>
    <row r="16" spans="2:13" x14ac:dyDescent="0.2">
      <c r="B16" s="362">
        <v>4</v>
      </c>
      <c r="C16" s="19"/>
      <c r="E16" s="7">
        <v>41</v>
      </c>
      <c r="F16" s="1">
        <v>412</v>
      </c>
      <c r="G16" s="20" t="s">
        <v>42</v>
      </c>
      <c r="H16" s="7">
        <v>9992</v>
      </c>
      <c r="I16" s="25"/>
      <c r="J16" s="23"/>
    </row>
    <row r="17" spans="2:14" x14ac:dyDescent="0.2">
      <c r="B17" s="362"/>
      <c r="C17" s="19"/>
      <c r="E17" s="7"/>
      <c r="G17" s="20"/>
      <c r="H17" s="7"/>
      <c r="I17" s="25"/>
      <c r="J17" s="23"/>
      <c r="M17" s="33"/>
    </row>
    <row r="18" spans="2:14" x14ac:dyDescent="0.2">
      <c r="B18" s="363">
        <v>1</v>
      </c>
      <c r="C18" s="56">
        <v>4</v>
      </c>
      <c r="D18" s="57">
        <v>1</v>
      </c>
      <c r="E18" s="51">
        <v>2</v>
      </c>
      <c r="F18" s="57"/>
      <c r="G18" s="54" t="s">
        <v>165</v>
      </c>
      <c r="H18" s="553" t="s">
        <v>43</v>
      </c>
      <c r="I18" s="554">
        <f>+I19</f>
        <v>38464286</v>
      </c>
      <c r="J18" s="58"/>
      <c r="K18" s="454"/>
    </row>
    <row r="19" spans="2:14" x14ac:dyDescent="0.2">
      <c r="B19" s="363"/>
      <c r="C19" s="56"/>
      <c r="D19" s="57"/>
      <c r="E19" s="51"/>
      <c r="F19" s="53" t="s">
        <v>35</v>
      </c>
      <c r="G19" s="54" t="s">
        <v>188</v>
      </c>
      <c r="H19" s="51"/>
      <c r="I19" s="201">
        <f>ROUND(Calculo!E18,0)</f>
        <v>38464286</v>
      </c>
      <c r="J19" s="55"/>
      <c r="K19" s="57"/>
    </row>
    <row r="20" spans="2:14" x14ac:dyDescent="0.2">
      <c r="B20" s="363"/>
      <c r="C20" s="56"/>
      <c r="D20" s="57"/>
      <c r="E20" s="51"/>
      <c r="F20" s="53"/>
      <c r="G20" s="54"/>
      <c r="H20" s="51"/>
      <c r="I20" s="52"/>
      <c r="J20" s="55"/>
      <c r="K20" s="57"/>
    </row>
    <row r="21" spans="2:14" x14ac:dyDescent="0.2">
      <c r="B21" s="363">
        <v>3</v>
      </c>
      <c r="C21" s="56">
        <v>4</v>
      </c>
      <c r="D21" s="57">
        <v>1</v>
      </c>
      <c r="E21" s="51">
        <v>2</v>
      </c>
      <c r="F21" s="53"/>
      <c r="G21" s="69" t="s">
        <v>552</v>
      </c>
      <c r="H21" s="553" t="s">
        <v>43</v>
      </c>
      <c r="I21" s="70">
        <f>+I22</f>
        <v>166666666.63</v>
      </c>
      <c r="J21" s="55"/>
      <c r="K21" s="57"/>
    </row>
    <row r="22" spans="2:14" x14ac:dyDescent="0.2">
      <c r="B22" s="363"/>
      <c r="C22" s="56"/>
      <c r="D22" s="57"/>
      <c r="E22" s="51"/>
      <c r="F22" s="53" t="s">
        <v>35</v>
      </c>
      <c r="G22" s="69" t="s">
        <v>552</v>
      </c>
      <c r="H22" s="51"/>
      <c r="I22" s="52">
        <f>Calculo!E21</f>
        <v>166666666.63</v>
      </c>
      <c r="J22" s="55"/>
      <c r="K22" s="57"/>
    </row>
    <row r="23" spans="2:14" x14ac:dyDescent="0.2">
      <c r="B23" s="363"/>
      <c r="C23" s="56"/>
      <c r="D23" s="57"/>
      <c r="E23" s="51"/>
      <c r="F23" s="53"/>
      <c r="G23" s="69"/>
      <c r="H23" s="51"/>
      <c r="I23" s="52"/>
      <c r="J23" s="55"/>
      <c r="K23" s="57"/>
    </row>
    <row r="24" spans="2:14" hidden="1" x14ac:dyDescent="0.2">
      <c r="B24" s="363">
        <v>3</v>
      </c>
      <c r="C24" s="56">
        <v>4</v>
      </c>
      <c r="D24" s="57">
        <v>1</v>
      </c>
      <c r="E24" s="51">
        <v>2</v>
      </c>
      <c r="F24" s="53"/>
      <c r="G24" s="69" t="s">
        <v>552</v>
      </c>
      <c r="H24" s="51">
        <v>6025</v>
      </c>
      <c r="I24" s="70">
        <f>I25</f>
        <v>0</v>
      </c>
      <c r="J24" s="55"/>
      <c r="K24" s="57"/>
    </row>
    <row r="25" spans="2:14" hidden="1" x14ac:dyDescent="0.2">
      <c r="B25" s="363"/>
      <c r="C25" s="56"/>
      <c r="D25" s="57"/>
      <c r="E25" s="51"/>
      <c r="F25" s="53" t="s">
        <v>35</v>
      </c>
      <c r="G25" s="69" t="s">
        <v>552</v>
      </c>
      <c r="H25" s="51"/>
      <c r="I25" s="52">
        <f>Calculo!E22</f>
        <v>0</v>
      </c>
      <c r="J25" s="55"/>
      <c r="K25" s="57"/>
    </row>
    <row r="26" spans="2:14" hidden="1" x14ac:dyDescent="0.2">
      <c r="B26" s="363">
        <v>3</v>
      </c>
      <c r="C26" s="56">
        <v>1</v>
      </c>
      <c r="D26" s="57">
        <v>1</v>
      </c>
      <c r="E26" s="51">
        <v>1</v>
      </c>
      <c r="F26" s="53"/>
      <c r="G26" s="69"/>
      <c r="H26" s="51"/>
      <c r="I26" s="52"/>
      <c r="J26" s="55"/>
      <c r="K26" s="57"/>
    </row>
    <row r="27" spans="2:14" hidden="1" x14ac:dyDescent="0.2">
      <c r="B27" s="363"/>
      <c r="C27" s="56"/>
      <c r="D27" s="57"/>
      <c r="E27" s="51"/>
      <c r="F27" s="53" t="s">
        <v>197</v>
      </c>
      <c r="G27" s="54" t="s">
        <v>553</v>
      </c>
      <c r="H27" s="51">
        <v>6025</v>
      </c>
      <c r="I27" s="70">
        <f>ROUND(Calculo!E23,0)</f>
        <v>0</v>
      </c>
      <c r="J27" s="55"/>
      <c r="K27" s="57"/>
      <c r="L27" s="877"/>
      <c r="M27" s="57"/>
      <c r="N27" s="57"/>
    </row>
    <row r="28" spans="2:14" x14ac:dyDescent="0.2">
      <c r="B28" s="363">
        <v>1</v>
      </c>
      <c r="C28" s="56">
        <v>6</v>
      </c>
      <c r="D28" s="57">
        <v>1</v>
      </c>
      <c r="E28" s="51">
        <v>2</v>
      </c>
      <c r="F28" s="53"/>
      <c r="G28" s="54" t="s">
        <v>39</v>
      </c>
      <c r="H28" s="51"/>
      <c r="I28" s="70">
        <f>ROUND(Calculo!E25,0)</f>
        <v>292709814</v>
      </c>
      <c r="J28" s="2"/>
      <c r="L28" s="721" t="b">
        <f>I22='Hoja3 - H'!O108</f>
        <v>1</v>
      </c>
    </row>
    <row r="29" spans="2:14" x14ac:dyDescent="0.2">
      <c r="B29" s="555"/>
      <c r="C29" s="556"/>
      <c r="D29" s="557"/>
      <c r="E29" s="558"/>
      <c r="F29" s="49" t="s">
        <v>37</v>
      </c>
      <c r="G29" s="50" t="s">
        <v>166</v>
      </c>
      <c r="H29" s="51">
        <v>9995</v>
      </c>
      <c r="I29" s="52">
        <f>ROUND(Calculo!E27,0)</f>
        <v>250553475</v>
      </c>
      <c r="J29" s="2"/>
    </row>
    <row r="30" spans="2:14" x14ac:dyDescent="0.2">
      <c r="B30" s="363"/>
      <c r="C30" s="56"/>
      <c r="D30" s="57"/>
      <c r="E30" s="51"/>
      <c r="F30" s="53"/>
      <c r="G30" s="54" t="s">
        <v>185</v>
      </c>
      <c r="H30" s="51"/>
      <c r="I30" s="52"/>
      <c r="J30" s="2"/>
      <c r="K30" s="72"/>
    </row>
    <row r="31" spans="2:14" x14ac:dyDescent="0.2">
      <c r="B31" s="363"/>
      <c r="C31" s="56"/>
      <c r="D31" s="57"/>
      <c r="E31" s="51"/>
      <c r="F31" s="53" t="s">
        <v>198</v>
      </c>
      <c r="G31" s="54" t="s">
        <v>166</v>
      </c>
      <c r="H31" s="51">
        <v>9998</v>
      </c>
      <c r="I31" s="52">
        <f>ROUND(Calculo!E29,0)</f>
        <v>42156340</v>
      </c>
      <c r="J31" s="55"/>
      <c r="K31" s="72"/>
    </row>
    <row r="32" spans="2:14" x14ac:dyDescent="0.2">
      <c r="B32" s="363"/>
      <c r="C32" s="56"/>
      <c r="D32" s="57"/>
      <c r="E32" s="51"/>
      <c r="F32" s="57"/>
      <c r="G32" s="54"/>
      <c r="H32" s="51"/>
      <c r="I32" s="52"/>
      <c r="J32" s="2"/>
    </row>
    <row r="33" spans="2:17" x14ac:dyDescent="0.2">
      <c r="B33" s="363">
        <v>1</v>
      </c>
      <c r="C33" s="56">
        <v>6</v>
      </c>
      <c r="D33" s="57">
        <v>4</v>
      </c>
      <c r="E33" s="51">
        <v>1</v>
      </c>
      <c r="F33" s="57"/>
      <c r="G33" s="54" t="s">
        <v>167</v>
      </c>
      <c r="H33" s="51">
        <v>9998</v>
      </c>
      <c r="I33" s="70">
        <f>+I34</f>
        <v>28543832</v>
      </c>
      <c r="J33" s="23"/>
      <c r="K33" s="72"/>
      <c r="L33" s="878"/>
    </row>
    <row r="34" spans="2:17" x14ac:dyDescent="0.2">
      <c r="B34" s="363"/>
      <c r="C34" s="56"/>
      <c r="D34" s="57"/>
      <c r="E34" s="51"/>
      <c r="F34" s="559">
        <v>99</v>
      </c>
      <c r="G34" s="54" t="s">
        <v>168</v>
      </c>
      <c r="H34" s="51"/>
      <c r="I34" s="52">
        <f>ROUND(Calculo!E37,0)</f>
        <v>28543832</v>
      </c>
      <c r="J34" s="2"/>
      <c r="K34" s="17"/>
      <c r="L34" s="878"/>
    </row>
    <row r="35" spans="2:17" x14ac:dyDescent="0.2">
      <c r="B35" s="363"/>
      <c r="C35" s="56"/>
      <c r="D35" s="57"/>
      <c r="E35" s="51"/>
      <c r="F35" s="57"/>
      <c r="G35" s="54"/>
      <c r="H35" s="51"/>
      <c r="I35" s="52"/>
      <c r="J35" s="2"/>
      <c r="K35" s="17"/>
    </row>
    <row r="36" spans="2:17" x14ac:dyDescent="0.2">
      <c r="B36" s="363">
        <v>3</v>
      </c>
      <c r="C36" s="56">
        <v>1</v>
      </c>
      <c r="D36" s="57">
        <v>1</v>
      </c>
      <c r="E36" s="51">
        <v>5</v>
      </c>
      <c r="F36" s="57"/>
      <c r="G36" s="54" t="s">
        <v>200</v>
      </c>
      <c r="H36" s="51">
        <v>9998</v>
      </c>
      <c r="I36" s="70">
        <f>+I37</f>
        <v>2283682116</v>
      </c>
      <c r="J36" s="24"/>
      <c r="L36" s="721" t="s">
        <v>738</v>
      </c>
    </row>
    <row r="37" spans="2:17" x14ac:dyDescent="0.2">
      <c r="B37" s="363"/>
      <c r="C37" s="56"/>
      <c r="D37" s="57"/>
      <c r="E37" s="51"/>
      <c r="F37" s="57" t="s">
        <v>35</v>
      </c>
      <c r="G37" s="54" t="s">
        <v>201</v>
      </c>
      <c r="H37" s="51"/>
      <c r="I37" s="52">
        <f>ROUND(Calculo!E41,0)</f>
        <v>2283682116</v>
      </c>
      <c r="J37" s="2"/>
      <c r="K37" s="33"/>
      <c r="L37" s="879"/>
    </row>
    <row r="38" spans="2:17" x14ac:dyDescent="0.2">
      <c r="B38" s="363"/>
      <c r="C38" s="56"/>
      <c r="D38" s="57"/>
      <c r="E38" s="51"/>
      <c r="F38" s="57"/>
      <c r="G38" s="54"/>
      <c r="H38" s="51"/>
      <c r="I38" s="52"/>
      <c r="J38" s="2"/>
      <c r="K38" s="33"/>
      <c r="L38" s="879"/>
    </row>
    <row r="39" spans="2:17" x14ac:dyDescent="0.2">
      <c r="B39" s="363">
        <v>3</v>
      </c>
      <c r="C39" s="56">
        <v>1</v>
      </c>
      <c r="D39" s="57">
        <v>1</v>
      </c>
      <c r="E39" s="51">
        <v>1</v>
      </c>
      <c r="F39" s="57"/>
      <c r="G39" s="54" t="s">
        <v>169</v>
      </c>
      <c r="H39" s="51">
        <v>9998</v>
      </c>
      <c r="I39" s="70">
        <f>I40</f>
        <v>427278241</v>
      </c>
      <c r="J39" s="2"/>
      <c r="K39" s="33"/>
      <c r="L39" s="879"/>
    </row>
    <row r="40" spans="2:17" x14ac:dyDescent="0.2">
      <c r="B40" s="363"/>
      <c r="C40" s="56"/>
      <c r="D40" s="57"/>
      <c r="E40" s="51"/>
      <c r="F40" s="57" t="s">
        <v>35</v>
      </c>
      <c r="G40" s="54" t="s">
        <v>170</v>
      </c>
      <c r="H40" s="51"/>
      <c r="I40" s="52">
        <f>ROUND(Calculo!E44,0)</f>
        <v>427278241</v>
      </c>
      <c r="J40" s="2"/>
      <c r="K40" s="33"/>
      <c r="L40" s="879"/>
    </row>
    <row r="41" spans="2:17" x14ac:dyDescent="0.2">
      <c r="B41" s="363"/>
      <c r="C41" s="56"/>
      <c r="D41" s="57"/>
      <c r="E41" s="51"/>
      <c r="F41" s="559"/>
      <c r="G41" s="54"/>
      <c r="H41" s="51"/>
      <c r="I41" s="52"/>
      <c r="J41" s="2"/>
      <c r="K41" s="33"/>
      <c r="L41" s="879"/>
    </row>
    <row r="42" spans="2:17" hidden="1" x14ac:dyDescent="0.2">
      <c r="B42" s="363">
        <v>3</v>
      </c>
      <c r="C42" s="56">
        <v>2</v>
      </c>
      <c r="D42" s="57">
        <v>1</v>
      </c>
      <c r="E42" s="51">
        <v>1</v>
      </c>
      <c r="F42" s="559"/>
      <c r="G42" s="54" t="s">
        <v>202</v>
      </c>
      <c r="H42" s="51">
        <v>9998</v>
      </c>
      <c r="I42" s="70">
        <f>+I43</f>
        <v>0</v>
      </c>
      <c r="J42" s="2"/>
      <c r="K42" s="33"/>
      <c r="L42" s="879"/>
    </row>
    <row r="43" spans="2:17" hidden="1" x14ac:dyDescent="0.2">
      <c r="B43" s="363"/>
      <c r="C43" s="56"/>
      <c r="D43" s="57"/>
      <c r="E43" s="51"/>
      <c r="F43" s="57" t="s">
        <v>35</v>
      </c>
      <c r="G43" s="54" t="s">
        <v>203</v>
      </c>
      <c r="H43" s="51"/>
      <c r="I43" s="52">
        <f>ROUND(Calculo!E46,0)</f>
        <v>0</v>
      </c>
      <c r="J43" s="2"/>
      <c r="K43" s="33"/>
      <c r="L43" s="879"/>
    </row>
    <row r="44" spans="2:17" s="30" customFormat="1" x14ac:dyDescent="0.2">
      <c r="B44" s="364"/>
      <c r="C44" s="35"/>
      <c r="E44" s="29"/>
      <c r="G44" s="31"/>
      <c r="H44" s="29"/>
      <c r="I44" s="52"/>
      <c r="J44" s="32"/>
      <c r="K44" s="76"/>
      <c r="L44" s="880"/>
      <c r="M44" s="57"/>
      <c r="N44" s="57"/>
      <c r="O44" s="57"/>
      <c r="P44" s="57"/>
      <c r="Q44" s="57"/>
    </row>
    <row r="45" spans="2:17" x14ac:dyDescent="0.2">
      <c r="B45" s="362"/>
      <c r="C45" s="19"/>
      <c r="E45" s="7"/>
      <c r="G45" s="20"/>
      <c r="H45" s="7"/>
      <c r="I45" s="202"/>
      <c r="J45" s="2"/>
      <c r="K45" s="33"/>
      <c r="L45" s="879"/>
    </row>
    <row r="46" spans="2:17" x14ac:dyDescent="0.2">
      <c r="B46" s="362"/>
      <c r="C46" s="19"/>
      <c r="E46" s="7"/>
      <c r="G46" s="20"/>
      <c r="H46" s="7"/>
      <c r="I46" s="16"/>
      <c r="J46" s="2"/>
      <c r="K46" s="33"/>
      <c r="L46" s="879"/>
    </row>
    <row r="47" spans="2:17" x14ac:dyDescent="0.2">
      <c r="B47" s="362"/>
      <c r="C47" s="19"/>
      <c r="E47" s="7"/>
      <c r="G47" s="20"/>
      <c r="H47" s="7"/>
      <c r="I47" s="16"/>
      <c r="J47" s="2"/>
      <c r="K47" s="33"/>
      <c r="L47" s="879"/>
    </row>
    <row r="48" spans="2:17" x14ac:dyDescent="0.2">
      <c r="B48" s="362"/>
      <c r="C48" s="19"/>
      <c r="E48" s="7"/>
      <c r="G48" s="20"/>
      <c r="H48" s="7"/>
      <c r="I48" s="16"/>
      <c r="J48" s="2"/>
    </row>
    <row r="49" spans="2:12" x14ac:dyDescent="0.2">
      <c r="B49" s="362"/>
      <c r="C49" s="19"/>
      <c r="E49" s="7"/>
      <c r="G49" s="20"/>
      <c r="H49" s="7"/>
      <c r="I49" s="16"/>
      <c r="J49" s="2"/>
      <c r="L49" s="879"/>
    </row>
    <row r="50" spans="2:12" x14ac:dyDescent="0.2">
      <c r="B50" s="362"/>
      <c r="C50" s="19"/>
      <c r="E50" s="7"/>
      <c r="G50" s="20"/>
      <c r="H50" s="7"/>
      <c r="I50" s="16"/>
      <c r="J50" s="2"/>
      <c r="L50" s="879"/>
    </row>
    <row r="51" spans="2:12" x14ac:dyDescent="0.2">
      <c r="B51" s="362"/>
      <c r="C51" s="19"/>
      <c r="E51" s="7"/>
      <c r="G51" s="20"/>
      <c r="H51" s="7"/>
      <c r="I51" s="16"/>
      <c r="J51" s="2"/>
      <c r="L51" s="879"/>
    </row>
    <row r="52" spans="2:12" ht="13.5" thickBot="1" x14ac:dyDescent="0.25">
      <c r="B52" s="365"/>
      <c r="C52" s="421"/>
      <c r="D52" s="4"/>
      <c r="E52" s="8"/>
      <c r="F52" s="4"/>
      <c r="G52" s="422"/>
      <c r="H52" s="8"/>
      <c r="I52" s="423"/>
      <c r="J52" s="5"/>
      <c r="K52" s="3"/>
      <c r="L52" s="879"/>
    </row>
    <row r="53" spans="2:12" ht="13.5" thickBot="1" x14ac:dyDescent="0.25">
      <c r="B53" s="416"/>
      <c r="C53" s="417"/>
      <c r="D53" s="417"/>
      <c r="E53" s="417"/>
      <c r="F53" s="418"/>
      <c r="G53" s="418" t="s">
        <v>15</v>
      </c>
      <c r="H53" s="418"/>
      <c r="I53" s="419">
        <f>I18+I21+I24+I27+I28+I33+I36+I39+I42</f>
        <v>3237344955.6300001</v>
      </c>
      <c r="J53" s="420"/>
      <c r="L53" s="879"/>
    </row>
    <row r="54" spans="2:12" ht="13.5" thickTop="1" x14ac:dyDescent="0.2">
      <c r="I54" s="41"/>
      <c r="J54" s="17"/>
      <c r="L54" s="879"/>
    </row>
    <row r="55" spans="2:12" x14ac:dyDescent="0.2">
      <c r="I55" s="41"/>
      <c r="J55" s="17"/>
      <c r="L55" s="879"/>
    </row>
    <row r="56" spans="2:12" x14ac:dyDescent="0.2">
      <c r="I56" s="41"/>
      <c r="J56" s="17"/>
      <c r="L56" s="879"/>
    </row>
    <row r="57" spans="2:12" x14ac:dyDescent="0.2">
      <c r="I57" s="41"/>
      <c r="J57" s="17"/>
      <c r="L57" s="879"/>
    </row>
    <row r="58" spans="2:12" x14ac:dyDescent="0.2">
      <c r="I58" s="41"/>
      <c r="J58" s="17"/>
      <c r="L58" s="879"/>
    </row>
    <row r="59" spans="2:12" x14ac:dyDescent="0.2">
      <c r="I59" s="41"/>
      <c r="J59" s="17"/>
      <c r="L59" s="879"/>
    </row>
    <row r="60" spans="2:12" x14ac:dyDescent="0.2">
      <c r="I60" s="41"/>
      <c r="J60" s="17"/>
      <c r="L60" s="879"/>
    </row>
    <row r="61" spans="2:12" x14ac:dyDescent="0.2">
      <c r="I61" s="41"/>
      <c r="J61" s="17"/>
      <c r="K61" s="17"/>
      <c r="L61" s="879"/>
    </row>
    <row r="62" spans="2:12" x14ac:dyDescent="0.2">
      <c r="B62" s="6"/>
      <c r="C62" s="6"/>
      <c r="D62" s="6"/>
      <c r="E62" s="6"/>
      <c r="F62" s="6"/>
      <c r="G62" s="6"/>
      <c r="H62" s="6"/>
      <c r="I62" s="16"/>
      <c r="L62" s="879"/>
    </row>
    <row r="63" spans="2:12" x14ac:dyDescent="0.2">
      <c r="B63" s="722" t="s">
        <v>229</v>
      </c>
      <c r="C63" s="722"/>
      <c r="D63" s="722"/>
      <c r="E63" s="722"/>
      <c r="F63" s="722"/>
      <c r="G63" s="722" t="s">
        <v>232</v>
      </c>
      <c r="H63" s="722"/>
      <c r="I63" s="722"/>
      <c r="J63" s="722"/>
      <c r="L63" s="879"/>
    </row>
    <row r="64" spans="2:12" x14ac:dyDescent="0.2">
      <c r="B64" s="736" t="s">
        <v>210</v>
      </c>
      <c r="C64" s="736"/>
      <c r="D64" s="736"/>
      <c r="E64" s="736"/>
      <c r="F64" s="736"/>
      <c r="G64" s="737" t="s">
        <v>211</v>
      </c>
      <c r="H64" s="737"/>
      <c r="I64" s="737"/>
      <c r="J64" s="737"/>
    </row>
    <row r="65" spans="2:12" x14ac:dyDescent="0.2">
      <c r="B65" s="737" t="s">
        <v>230</v>
      </c>
      <c r="C65" s="737"/>
      <c r="D65" s="737"/>
      <c r="E65" s="737"/>
      <c r="F65" s="737"/>
      <c r="G65" s="738" t="s">
        <v>231</v>
      </c>
      <c r="H65" s="738"/>
      <c r="I65" s="738"/>
      <c r="J65" s="738"/>
    </row>
    <row r="66" spans="2:12" s="6" customFormat="1" ht="11.25" x14ac:dyDescent="0.2">
      <c r="B66" s="739"/>
      <c r="C66" s="739"/>
      <c r="D66" s="739"/>
      <c r="E66" s="739"/>
      <c r="F66" s="739"/>
      <c r="G66" s="739"/>
      <c r="H66" s="739"/>
      <c r="I66" s="739"/>
      <c r="L66" s="720"/>
    </row>
    <row r="67" spans="2:12" s="6" customFormat="1" ht="11.25" x14ac:dyDescent="0.2">
      <c r="D67" s="736"/>
      <c r="E67" s="736"/>
      <c r="F67" s="736"/>
      <c r="G67" s="736"/>
      <c r="H67" s="736"/>
      <c r="L67" s="720"/>
    </row>
    <row r="68" spans="2:12" s="6" customFormat="1" ht="11.25" x14ac:dyDescent="0.2">
      <c r="B68" s="736"/>
      <c r="C68" s="736"/>
      <c r="D68" s="736"/>
      <c r="E68" s="736"/>
      <c r="F68" s="736"/>
      <c r="L68" s="720"/>
    </row>
    <row r="69" spans="2:12" x14ac:dyDescent="0.2">
      <c r="I69" s="16"/>
    </row>
    <row r="70" spans="2:12" x14ac:dyDescent="0.2">
      <c r="I70" s="16"/>
    </row>
    <row r="71" spans="2:12" x14ac:dyDescent="0.2">
      <c r="I71" s="16"/>
    </row>
    <row r="72" spans="2:12" x14ac:dyDescent="0.2">
      <c r="I72" s="16"/>
    </row>
    <row r="73" spans="2:12" x14ac:dyDescent="0.2">
      <c r="I73" s="16"/>
    </row>
    <row r="74" spans="2:12" x14ac:dyDescent="0.2">
      <c r="I74" s="16"/>
    </row>
    <row r="75" spans="2:12" x14ac:dyDescent="0.2">
      <c r="I75" s="16"/>
    </row>
    <row r="77" spans="2:12" x14ac:dyDescent="0.2">
      <c r="E77" s="33"/>
      <c r="F77" s="33"/>
    </row>
    <row r="78" spans="2:12" x14ac:dyDescent="0.2">
      <c r="F78" s="33"/>
    </row>
    <row r="79" spans="2:12" x14ac:dyDescent="0.2">
      <c r="F79" s="33"/>
    </row>
  </sheetData>
  <mergeCells count="16">
    <mergeCell ref="B68:F68"/>
    <mergeCell ref="G64:J64"/>
    <mergeCell ref="B65:F65"/>
    <mergeCell ref="G65:J65"/>
    <mergeCell ref="B66:F66"/>
    <mergeCell ref="G66:I66"/>
    <mergeCell ref="B64:F64"/>
    <mergeCell ref="D67:H67"/>
    <mergeCell ref="B63:F63"/>
    <mergeCell ref="G63:J63"/>
    <mergeCell ref="B2:I2"/>
    <mergeCell ref="B3:I3"/>
    <mergeCell ref="B11:F11"/>
    <mergeCell ref="B14:F14"/>
    <mergeCell ref="B12:F12"/>
    <mergeCell ref="H4:I4"/>
  </mergeCells>
  <phoneticPr fontId="0" type="noConversion"/>
  <conditionalFormatting sqref="I51">
    <cfRule type="containsText" dxfId="0" priority="1" operator="containsText" text="FALSO">
      <formula>NOT(ISERROR(SEARCH("FALSO",I51)))</formula>
    </cfRule>
  </conditionalFormatting>
  <pageMargins left="0.54" right="0.26" top="0.54" bottom="1" header="0.54" footer="0"/>
  <pageSetup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9"/>
  <sheetViews>
    <sheetView topLeftCell="A86" zoomScaleNormal="100" workbookViewId="0">
      <selection activeCell="A99" sqref="A99:XFD99"/>
    </sheetView>
  </sheetViews>
  <sheetFormatPr defaultColWidth="11.42578125" defaultRowHeight="15" x14ac:dyDescent="0.25"/>
  <cols>
    <col min="1" max="1" width="12" style="158" customWidth="1"/>
    <col min="2" max="2" width="5.28515625" style="158" customWidth="1"/>
    <col min="3" max="3" width="5" style="158" customWidth="1"/>
    <col min="4" max="4" width="8.7109375" style="158" customWidth="1"/>
    <col min="5" max="5" width="7.7109375" style="158" customWidth="1"/>
    <col min="6" max="6" width="6" style="158" customWidth="1"/>
    <col min="7" max="7" width="6.42578125" style="158" customWidth="1"/>
    <col min="8" max="8" width="4.140625" style="158" customWidth="1"/>
    <col min="9" max="9" width="6.5703125" style="158" customWidth="1"/>
    <col min="10" max="10" width="8.42578125" style="158" customWidth="1"/>
    <col min="11" max="11" width="6.7109375" style="158" customWidth="1"/>
    <col min="12" max="12" width="37.7109375" style="158" customWidth="1"/>
    <col min="13" max="13" width="12.5703125" style="158" customWidth="1"/>
    <col min="14" max="14" width="20.42578125" style="158" customWidth="1"/>
    <col min="15" max="15" width="14.5703125" style="158" customWidth="1"/>
    <col min="16" max="16" width="2.28515625" style="158" customWidth="1"/>
    <col min="17" max="17" width="15.42578125" style="158" customWidth="1"/>
    <col min="18" max="16384" width="11.42578125" style="158"/>
  </cols>
  <sheetData>
    <row r="1" spans="1:17" ht="15.75" thickBot="1" x14ac:dyDescent="0.3"/>
    <row r="2" spans="1:17" x14ac:dyDescent="0.25">
      <c r="A2" s="746" t="s">
        <v>172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8"/>
    </row>
    <row r="3" spans="1:17" x14ac:dyDescent="0.25">
      <c r="A3" s="761" t="s">
        <v>33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3"/>
    </row>
    <row r="4" spans="1:17" ht="18.75" x14ac:dyDescent="0.4">
      <c r="A4" s="230"/>
      <c r="N4" s="231" t="s">
        <v>157</v>
      </c>
      <c r="O4" s="232"/>
    </row>
    <row r="5" spans="1:17" x14ac:dyDescent="0.25">
      <c r="A5" s="230"/>
      <c r="O5" s="232"/>
    </row>
    <row r="6" spans="1:17" x14ac:dyDescent="0.25">
      <c r="A6" s="294" t="s">
        <v>564</v>
      </c>
      <c r="M6" s="295" t="s">
        <v>226</v>
      </c>
      <c r="O6" s="232"/>
    </row>
    <row r="7" spans="1:17" x14ac:dyDescent="0.25">
      <c r="A7" s="294" t="s">
        <v>565</v>
      </c>
      <c r="M7" s="295" t="s">
        <v>1</v>
      </c>
      <c r="O7" s="232"/>
    </row>
    <row r="8" spans="1:17" x14ac:dyDescent="0.25">
      <c r="A8" s="294" t="str">
        <f>+Hoja1!B8</f>
        <v>MES: DICIEMBRE</v>
      </c>
      <c r="M8" s="295" t="s">
        <v>2</v>
      </c>
      <c r="O8" s="232"/>
    </row>
    <row r="9" spans="1:17" ht="15.75" thickBot="1" x14ac:dyDescent="0.3">
      <c r="A9" s="296" t="str">
        <f>+Hoja1!B9</f>
        <v>AÑO : 2022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 t="s">
        <v>3</v>
      </c>
      <c r="N9" s="297"/>
      <c r="O9" s="537"/>
    </row>
    <row r="10" spans="1:17" ht="15.75" thickBot="1" x14ac:dyDescent="0.3"/>
    <row r="11" spans="1:17" s="212" customFormat="1" ht="15.75" thickBot="1" x14ac:dyDescent="0.3">
      <c r="A11" s="767" t="s">
        <v>28</v>
      </c>
      <c r="B11" s="768"/>
      <c r="C11" s="768"/>
      <c r="D11" s="768"/>
      <c r="E11" s="768"/>
      <c r="F11" s="768"/>
      <c r="G11" s="768"/>
      <c r="H11" s="768"/>
      <c r="I11" s="768"/>
      <c r="J11" s="769"/>
      <c r="K11" s="540"/>
      <c r="L11" s="540"/>
      <c r="M11" s="770" t="s">
        <v>32</v>
      </c>
      <c r="N11" s="752"/>
      <c r="O11" s="771"/>
    </row>
    <row r="12" spans="1:17" s="212" customFormat="1" x14ac:dyDescent="0.25">
      <c r="A12" s="743" t="s">
        <v>9</v>
      </c>
      <c r="B12" s="744"/>
      <c r="C12" s="744"/>
      <c r="D12" s="744"/>
      <c r="E12" s="744"/>
      <c r="F12" s="744"/>
      <c r="G12" s="745"/>
      <c r="H12" s="770" t="s">
        <v>27</v>
      </c>
      <c r="I12" s="752"/>
      <c r="J12" s="752"/>
      <c r="K12" s="752"/>
      <c r="L12" s="772"/>
      <c r="M12" s="438" t="s">
        <v>29</v>
      </c>
      <c r="N12" s="439" t="s">
        <v>30</v>
      </c>
      <c r="O12" s="440" t="s">
        <v>31</v>
      </c>
    </row>
    <row r="13" spans="1:17" s="212" customFormat="1" x14ac:dyDescent="0.25">
      <c r="A13" s="236"/>
      <c r="B13" s="265" t="s">
        <v>19</v>
      </c>
      <c r="C13" s="551"/>
      <c r="D13" s="543"/>
      <c r="E13" s="551"/>
      <c r="F13" s="543"/>
      <c r="G13" s="551"/>
      <c r="H13" s="543"/>
      <c r="I13" s="550"/>
      <c r="J13" s="543"/>
      <c r="K13" s="543"/>
      <c r="L13" s="765"/>
      <c r="M13" s="237"/>
      <c r="N13" s="238"/>
      <c r="O13" s="239"/>
    </row>
    <row r="14" spans="1:17" s="212" customFormat="1" ht="15.75" thickBot="1" x14ac:dyDescent="0.3">
      <c r="A14" s="240" t="s">
        <v>18</v>
      </c>
      <c r="B14" s="241" t="s">
        <v>18</v>
      </c>
      <c r="C14" s="242" t="s">
        <v>20</v>
      </c>
      <c r="D14" s="241" t="s">
        <v>21</v>
      </c>
      <c r="E14" s="242" t="s">
        <v>22</v>
      </c>
      <c r="F14" s="241" t="s">
        <v>23</v>
      </c>
      <c r="G14" s="242" t="s">
        <v>44</v>
      </c>
      <c r="H14" s="241" t="s">
        <v>25</v>
      </c>
      <c r="I14" s="243" t="s">
        <v>4</v>
      </c>
      <c r="J14" s="241" t="s">
        <v>26</v>
      </c>
      <c r="K14" s="241" t="s">
        <v>155</v>
      </c>
      <c r="L14" s="766"/>
      <c r="M14" s="245" t="s">
        <v>11</v>
      </c>
      <c r="N14" s="245" t="s">
        <v>12</v>
      </c>
      <c r="O14" s="246" t="s">
        <v>13</v>
      </c>
      <c r="P14" s="156"/>
    </row>
    <row r="15" spans="1:17" x14ac:dyDescent="0.25">
      <c r="A15" s="247" t="s">
        <v>38</v>
      </c>
      <c r="B15" s="248" t="s">
        <v>36</v>
      </c>
      <c r="C15" s="249"/>
      <c r="D15" s="250" t="s">
        <v>35</v>
      </c>
      <c r="E15" s="249"/>
      <c r="F15" s="218" t="s">
        <v>179</v>
      </c>
      <c r="G15" s="249"/>
      <c r="H15" s="251">
        <v>1</v>
      </c>
      <c r="I15" s="252">
        <v>1</v>
      </c>
      <c r="J15" s="249">
        <v>1</v>
      </c>
      <c r="K15" s="225"/>
      <c r="L15" s="222" t="s">
        <v>57</v>
      </c>
      <c r="M15" s="172"/>
      <c r="N15" s="253">
        <f>ROUND(N16+N26+N33+N30,0)</f>
        <v>15557048</v>
      </c>
      <c r="O15" s="167"/>
      <c r="P15" s="156"/>
    </row>
    <row r="16" spans="1:17" x14ac:dyDescent="0.25">
      <c r="A16" s="214"/>
      <c r="B16" s="215"/>
      <c r="C16" s="216"/>
      <c r="D16" s="217"/>
      <c r="E16" s="216"/>
      <c r="G16" s="216"/>
      <c r="H16" s="158">
        <v>1</v>
      </c>
      <c r="I16" s="219">
        <v>1</v>
      </c>
      <c r="J16" s="216"/>
      <c r="K16" s="225"/>
      <c r="L16" s="222" t="s">
        <v>58</v>
      </c>
      <c r="M16" s="172"/>
      <c r="N16" s="68">
        <f>ROUND(N17+N20+N23+N24,0)</f>
        <v>13971789</v>
      </c>
      <c r="O16" s="66"/>
      <c r="P16" s="221"/>
      <c r="Q16" s="213"/>
    </row>
    <row r="17" spans="1:19" x14ac:dyDescent="0.25">
      <c r="A17" s="214"/>
      <c r="B17" s="215"/>
      <c r="C17" s="216"/>
      <c r="D17" s="217"/>
      <c r="E17" s="216"/>
      <c r="G17" s="216"/>
      <c r="I17" s="219"/>
      <c r="J17" s="216">
        <v>1</v>
      </c>
      <c r="K17" s="225"/>
      <c r="L17" s="222" t="s">
        <v>59</v>
      </c>
      <c r="M17" s="172"/>
      <c r="N17" s="68">
        <f>ROUND(N18+N19,0)</f>
        <v>8525469</v>
      </c>
      <c r="O17" s="66"/>
      <c r="P17" s="221"/>
      <c r="Q17" s="213"/>
    </row>
    <row r="18" spans="1:19" x14ac:dyDescent="0.25">
      <c r="A18" s="214"/>
      <c r="B18" s="215"/>
      <c r="C18" s="216"/>
      <c r="D18" s="217"/>
      <c r="E18" s="216"/>
      <c r="G18" s="218" t="s">
        <v>43</v>
      </c>
      <c r="I18" s="219"/>
      <c r="J18" s="216"/>
      <c r="K18" s="220" t="s">
        <v>35</v>
      </c>
      <c r="L18" s="158" t="s">
        <v>103</v>
      </c>
      <c r="M18" s="166"/>
      <c r="N18" s="71">
        <f>ROUND(Hoja1!I19*0.14,0)</f>
        <v>5385000</v>
      </c>
      <c r="O18" s="168"/>
      <c r="P18" s="221"/>
      <c r="Q18" s="213"/>
    </row>
    <row r="19" spans="1:19" x14ac:dyDescent="0.25">
      <c r="A19" s="214"/>
      <c r="B19" s="215"/>
      <c r="C19" s="216"/>
      <c r="D19" s="217"/>
      <c r="E19" s="216"/>
      <c r="G19" s="218" t="s">
        <v>45</v>
      </c>
      <c r="I19" s="219"/>
      <c r="J19" s="216"/>
      <c r="K19" s="220" t="s">
        <v>35</v>
      </c>
      <c r="L19" s="158" t="s">
        <v>103</v>
      </c>
      <c r="M19" s="166"/>
      <c r="N19" s="71">
        <f>ROUND(Calculo!F52-N18,0)</f>
        <v>3140469</v>
      </c>
      <c r="O19" s="168"/>
      <c r="P19" s="221"/>
      <c r="Q19" s="213"/>
    </row>
    <row r="20" spans="1:19" x14ac:dyDescent="0.25">
      <c r="A20" s="214"/>
      <c r="B20" s="215"/>
      <c r="C20" s="216"/>
      <c r="D20" s="217"/>
      <c r="E20" s="216"/>
      <c r="G20" s="216">
        <v>9998</v>
      </c>
      <c r="H20" s="222"/>
      <c r="I20" s="223"/>
      <c r="J20" s="224">
        <v>2</v>
      </c>
      <c r="K20" s="225"/>
      <c r="L20" s="158" t="s">
        <v>60</v>
      </c>
      <c r="M20" s="172"/>
      <c r="N20" s="68">
        <f>ROUND(N21+N22,0)</f>
        <v>7533</v>
      </c>
      <c r="O20" s="66"/>
      <c r="P20" s="221"/>
      <c r="Q20" s="213"/>
    </row>
    <row r="21" spans="1:19" x14ac:dyDescent="0.25">
      <c r="A21" s="214"/>
      <c r="B21" s="215"/>
      <c r="C21" s="216"/>
      <c r="D21" s="217"/>
      <c r="E21" s="216"/>
      <c r="G21" s="216"/>
      <c r="I21" s="219"/>
      <c r="J21" s="216"/>
      <c r="K21" s="220" t="s">
        <v>197</v>
      </c>
      <c r="L21" s="158" t="s">
        <v>566</v>
      </c>
      <c r="M21" s="166"/>
      <c r="N21" s="71">
        <f>Calculo!$F$55</f>
        <v>7533</v>
      </c>
      <c r="O21" s="66"/>
      <c r="P21" s="221"/>
      <c r="Q21" s="213"/>
    </row>
    <row r="22" spans="1:19" hidden="1" x14ac:dyDescent="0.25">
      <c r="A22" s="214"/>
      <c r="B22" s="215"/>
      <c r="C22" s="216"/>
      <c r="D22" s="217"/>
      <c r="E22" s="216"/>
      <c r="G22" s="218" t="s">
        <v>43</v>
      </c>
      <c r="H22" s="158">
        <v>1</v>
      </c>
      <c r="I22" s="219">
        <v>1</v>
      </c>
      <c r="J22" s="216">
        <v>2</v>
      </c>
      <c r="K22" s="220" t="s">
        <v>198</v>
      </c>
      <c r="L22" s="158" t="s">
        <v>225</v>
      </c>
      <c r="M22" s="166"/>
      <c r="N22" s="71">
        <f>Calculo!F56</f>
        <v>0</v>
      </c>
      <c r="O22" s="66"/>
      <c r="P22" s="221"/>
      <c r="Q22" s="213"/>
    </row>
    <row r="23" spans="1:19" x14ac:dyDescent="0.25">
      <c r="A23" s="214"/>
      <c r="B23" s="215"/>
      <c r="C23" s="216"/>
      <c r="D23" s="217"/>
      <c r="E23" s="216"/>
      <c r="G23" s="216">
        <v>9998</v>
      </c>
      <c r="I23" s="219"/>
      <c r="J23" s="224">
        <v>4</v>
      </c>
      <c r="K23" s="220"/>
      <c r="L23" s="158" t="s">
        <v>104</v>
      </c>
      <c r="M23" s="166"/>
      <c r="N23" s="71">
        <f>Calculo!$F$61</f>
        <v>1808240</v>
      </c>
      <c r="O23" s="66"/>
      <c r="P23" s="221"/>
      <c r="Q23" s="213"/>
      <c r="R23" s="255"/>
      <c r="S23" s="226"/>
    </row>
    <row r="24" spans="1:19" x14ac:dyDescent="0.25">
      <c r="A24" s="214"/>
      <c r="B24" s="215"/>
      <c r="C24" s="216"/>
      <c r="D24" s="217"/>
      <c r="E24" s="216"/>
      <c r="G24" s="216">
        <v>9998</v>
      </c>
      <c r="I24" s="219"/>
      <c r="J24" s="224">
        <v>5</v>
      </c>
      <c r="K24" s="220"/>
      <c r="L24" s="158" t="s">
        <v>61</v>
      </c>
      <c r="M24" s="166"/>
      <c r="N24" s="68">
        <f>+N25</f>
        <v>3630547</v>
      </c>
      <c r="O24" s="168"/>
      <c r="P24" s="221"/>
      <c r="Q24" s="213"/>
      <c r="S24" s="226"/>
    </row>
    <row r="25" spans="1:19" x14ac:dyDescent="0.25">
      <c r="A25" s="214"/>
      <c r="B25" s="215"/>
      <c r="C25" s="216"/>
      <c r="D25" s="217"/>
      <c r="E25" s="216"/>
      <c r="G25" s="216"/>
      <c r="I25" s="219"/>
      <c r="J25" s="216"/>
      <c r="K25" s="220" t="s">
        <v>35</v>
      </c>
      <c r="L25" s="158" t="s">
        <v>61</v>
      </c>
      <c r="M25" s="166"/>
      <c r="N25" s="71">
        <f>Calculo!$F$64</f>
        <v>3630547</v>
      </c>
      <c r="O25" s="168"/>
      <c r="P25" s="221"/>
      <c r="Q25" s="213"/>
    </row>
    <row r="26" spans="1:19" x14ac:dyDescent="0.25">
      <c r="A26" s="214"/>
      <c r="B26" s="215"/>
      <c r="C26" s="216"/>
      <c r="D26" s="217"/>
      <c r="E26" s="216"/>
      <c r="F26" s="158">
        <v>102</v>
      </c>
      <c r="G26" s="216">
        <v>9998</v>
      </c>
      <c r="H26" s="222">
        <v>1</v>
      </c>
      <c r="I26" s="223">
        <v>2</v>
      </c>
      <c r="J26" s="224"/>
      <c r="K26" s="225"/>
      <c r="L26" s="222" t="s">
        <v>100</v>
      </c>
      <c r="M26" s="172"/>
      <c r="N26" s="68">
        <f>+N27</f>
        <v>751349</v>
      </c>
      <c r="O26" s="66"/>
      <c r="P26" s="221"/>
      <c r="Q26" s="213"/>
    </row>
    <row r="27" spans="1:19" x14ac:dyDescent="0.25">
      <c r="A27" s="214"/>
      <c r="B27" s="215"/>
      <c r="C27" s="216"/>
      <c r="D27" s="217"/>
      <c r="E27" s="216"/>
      <c r="G27" s="216"/>
      <c r="I27" s="219"/>
      <c r="J27" s="224">
        <v>2</v>
      </c>
      <c r="K27" s="220"/>
      <c r="L27" s="158" t="s">
        <v>105</v>
      </c>
      <c r="M27" s="166"/>
      <c r="N27" s="68">
        <f>+N28+N29</f>
        <v>751349</v>
      </c>
      <c r="O27" s="168"/>
      <c r="P27" s="221"/>
      <c r="Q27" s="213"/>
    </row>
    <row r="28" spans="1:19" x14ac:dyDescent="0.25">
      <c r="A28" s="214"/>
      <c r="B28" s="215"/>
      <c r="C28" s="216"/>
      <c r="D28" s="217"/>
      <c r="E28" s="216"/>
      <c r="G28" s="216"/>
      <c r="I28" s="219"/>
      <c r="J28" s="216"/>
      <c r="K28" s="220" t="s">
        <v>197</v>
      </c>
      <c r="L28" s="158" t="s">
        <v>228</v>
      </c>
      <c r="M28" s="166"/>
      <c r="N28" s="71">
        <f>ROUND(Calculo!$F$72,0)</f>
        <v>614724</v>
      </c>
      <c r="O28" s="168"/>
      <c r="P28" s="221"/>
      <c r="Q28" s="213"/>
    </row>
    <row r="29" spans="1:19" x14ac:dyDescent="0.25">
      <c r="A29" s="214"/>
      <c r="B29" s="215"/>
      <c r="C29" s="216"/>
      <c r="D29" s="217"/>
      <c r="E29" s="216"/>
      <c r="G29" s="216"/>
      <c r="I29" s="219"/>
      <c r="J29" s="216"/>
      <c r="K29" s="220" t="s">
        <v>208</v>
      </c>
      <c r="L29" s="158" t="s">
        <v>108</v>
      </c>
      <c r="M29" s="166"/>
      <c r="N29" s="71">
        <f>Calculo!$F$73</f>
        <v>136625</v>
      </c>
      <c r="O29" s="168"/>
      <c r="P29" s="221"/>
      <c r="Q29" s="213">
        <v>0</v>
      </c>
    </row>
    <row r="30" spans="1:19" x14ac:dyDescent="0.25">
      <c r="A30" s="214"/>
      <c r="B30" s="215"/>
      <c r="C30" s="216"/>
      <c r="D30" s="217"/>
      <c r="E30" s="216"/>
      <c r="G30" s="216">
        <v>9998</v>
      </c>
      <c r="H30" s="222">
        <v>1</v>
      </c>
      <c r="I30" s="223">
        <v>4</v>
      </c>
      <c r="J30" s="216"/>
      <c r="K30" s="220"/>
      <c r="L30" s="222" t="s">
        <v>109</v>
      </c>
      <c r="M30" s="166"/>
      <c r="N30" s="68">
        <f>+N31</f>
        <v>229845</v>
      </c>
      <c r="O30" s="168"/>
      <c r="P30" s="221"/>
      <c r="Q30" s="213"/>
    </row>
    <row r="31" spans="1:19" x14ac:dyDescent="0.25">
      <c r="A31" s="214"/>
      <c r="B31" s="215"/>
      <c r="C31" s="216"/>
      <c r="D31" s="217"/>
      <c r="E31" s="216"/>
      <c r="G31" s="216"/>
      <c r="I31" s="219"/>
      <c r="J31" s="216">
        <v>2</v>
      </c>
      <c r="K31" s="220"/>
      <c r="L31" s="158" t="s">
        <v>63</v>
      </c>
      <c r="M31" s="166"/>
      <c r="N31" s="71">
        <f>+N32</f>
        <v>229845</v>
      </c>
      <c r="O31" s="168"/>
      <c r="P31" s="221"/>
      <c r="Q31" s="213"/>
    </row>
    <row r="32" spans="1:19" x14ac:dyDescent="0.25">
      <c r="A32" s="214"/>
      <c r="B32" s="215"/>
      <c r="C32" s="216"/>
      <c r="D32" s="217"/>
      <c r="E32" s="216"/>
      <c r="G32" s="216"/>
      <c r="I32" s="219"/>
      <c r="J32" s="216"/>
      <c r="K32" s="220" t="s">
        <v>198</v>
      </c>
      <c r="L32" s="158" t="s">
        <v>110</v>
      </c>
      <c r="M32" s="166"/>
      <c r="N32" s="71">
        <f>Calculo!$F$77</f>
        <v>229845</v>
      </c>
      <c r="O32" s="168"/>
      <c r="P32" s="221"/>
      <c r="Q32" s="213"/>
    </row>
    <row r="33" spans="1:17" x14ac:dyDescent="0.25">
      <c r="A33" s="214"/>
      <c r="B33" s="215"/>
      <c r="C33" s="216"/>
      <c r="D33" s="217"/>
      <c r="E33" s="216"/>
      <c r="G33" s="216">
        <v>9998</v>
      </c>
      <c r="H33" s="222">
        <v>1</v>
      </c>
      <c r="I33" s="223">
        <v>5</v>
      </c>
      <c r="J33" s="216"/>
      <c r="K33" s="220"/>
      <c r="L33" s="222" t="s">
        <v>64</v>
      </c>
      <c r="M33" s="166"/>
      <c r="N33" s="68">
        <f>+N34</f>
        <v>604065</v>
      </c>
      <c r="O33" s="168"/>
      <c r="P33" s="221"/>
      <c r="Q33" s="213"/>
    </row>
    <row r="34" spans="1:17" x14ac:dyDescent="0.25">
      <c r="A34" s="214"/>
      <c r="B34" s="215"/>
      <c r="C34" s="216"/>
      <c r="D34" s="217"/>
      <c r="E34" s="216"/>
      <c r="G34" s="216"/>
      <c r="I34" s="219"/>
      <c r="J34" s="216">
        <v>2</v>
      </c>
      <c r="K34" s="220"/>
      <c r="L34" s="158" t="s">
        <v>65</v>
      </c>
      <c r="M34" s="166"/>
      <c r="N34" s="71">
        <f>Calculo!$F$85</f>
        <v>604065</v>
      </c>
      <c r="O34" s="168"/>
      <c r="P34" s="221"/>
      <c r="Q34" s="213"/>
    </row>
    <row r="35" spans="1:17" x14ac:dyDescent="0.25">
      <c r="A35" s="214"/>
      <c r="B35" s="215"/>
      <c r="C35" s="216"/>
      <c r="D35" s="217"/>
      <c r="E35" s="216"/>
      <c r="G35" s="216">
        <v>9998</v>
      </c>
      <c r="H35" s="222">
        <v>2</v>
      </c>
      <c r="I35" s="223"/>
      <c r="J35" s="224"/>
      <c r="K35" s="225"/>
      <c r="L35" s="222" t="s">
        <v>111</v>
      </c>
      <c r="M35" s="172"/>
      <c r="N35" s="68">
        <f>+N36+N42+N44+N46+N48+N51+N54+N62</f>
        <v>22272046</v>
      </c>
      <c r="O35" s="66"/>
      <c r="P35" s="156"/>
      <c r="Q35" s="221"/>
    </row>
    <row r="36" spans="1:17" x14ac:dyDescent="0.25">
      <c r="A36" s="214"/>
      <c r="B36" s="215"/>
      <c r="C36" s="216"/>
      <c r="D36" s="217"/>
      <c r="E36" s="216"/>
      <c r="G36" s="216"/>
      <c r="H36" s="222">
        <v>2</v>
      </c>
      <c r="I36" s="223">
        <v>1</v>
      </c>
      <c r="J36" s="224"/>
      <c r="K36" s="225"/>
      <c r="L36" s="222" t="s">
        <v>112</v>
      </c>
      <c r="M36" s="172"/>
      <c r="N36" s="68">
        <f>+N37+N38+N40+N41</f>
        <v>734301</v>
      </c>
      <c r="O36" s="66"/>
      <c r="P36" s="156"/>
    </row>
    <row r="37" spans="1:17" x14ac:dyDescent="0.25">
      <c r="A37" s="214"/>
      <c r="B37" s="215"/>
      <c r="C37" s="216"/>
      <c r="D37" s="217"/>
      <c r="E37" s="216"/>
      <c r="G37" s="216"/>
      <c r="I37" s="219"/>
      <c r="J37" s="216">
        <v>3</v>
      </c>
      <c r="K37" s="220"/>
      <c r="L37" s="158" t="s">
        <v>113</v>
      </c>
      <c r="M37" s="166"/>
      <c r="N37" s="71">
        <f>Calculo!$F$92</f>
        <v>231382</v>
      </c>
      <c r="O37" s="168"/>
      <c r="P37" s="156"/>
    </row>
    <row r="38" spans="1:17" x14ac:dyDescent="0.25">
      <c r="A38" s="214"/>
      <c r="B38" s="215"/>
      <c r="C38" s="216"/>
      <c r="D38" s="217"/>
      <c r="E38" s="216"/>
      <c r="G38" s="216"/>
      <c r="I38" s="219"/>
      <c r="J38" s="224">
        <v>6</v>
      </c>
      <c r="K38" s="220"/>
      <c r="L38" s="158" t="s">
        <v>133</v>
      </c>
      <c r="M38" s="166"/>
      <c r="N38" s="68">
        <f>+N39</f>
        <v>484819</v>
      </c>
      <c r="O38" s="168"/>
      <c r="P38" s="156"/>
    </row>
    <row r="39" spans="1:17" x14ac:dyDescent="0.25">
      <c r="A39" s="214"/>
      <c r="B39" s="215"/>
      <c r="C39" s="216"/>
      <c r="D39" s="217"/>
      <c r="E39" s="216"/>
      <c r="G39" s="216"/>
      <c r="I39" s="219"/>
      <c r="J39" s="216"/>
      <c r="K39" s="220" t="s">
        <v>35</v>
      </c>
      <c r="L39" s="158" t="s">
        <v>114</v>
      </c>
      <c r="M39" s="166"/>
      <c r="N39" s="71">
        <f>Calculo!$F$95</f>
        <v>484819</v>
      </c>
      <c r="O39" s="168"/>
      <c r="P39" s="156"/>
    </row>
    <row r="40" spans="1:17" x14ac:dyDescent="0.25">
      <c r="A40" s="214"/>
      <c r="B40" s="215"/>
      <c r="C40" s="216"/>
      <c r="D40" s="217"/>
      <c r="E40" s="216"/>
      <c r="G40" s="216"/>
      <c r="I40" s="219"/>
      <c r="J40" s="216">
        <v>7</v>
      </c>
      <c r="K40" s="220"/>
      <c r="L40" s="158" t="s">
        <v>70</v>
      </c>
      <c r="M40" s="166"/>
      <c r="N40" s="71">
        <f>Calculo!$F$96</f>
        <v>11784</v>
      </c>
      <c r="O40" s="168"/>
      <c r="P40" s="156"/>
    </row>
    <row r="41" spans="1:17" x14ac:dyDescent="0.25">
      <c r="A41" s="214"/>
      <c r="B41" s="215"/>
      <c r="C41" s="216"/>
      <c r="D41" s="217"/>
      <c r="E41" s="216"/>
      <c r="G41" s="216"/>
      <c r="I41" s="219"/>
      <c r="J41" s="216">
        <v>8</v>
      </c>
      <c r="K41" s="220"/>
      <c r="L41" s="158" t="s">
        <v>216</v>
      </c>
      <c r="M41" s="166"/>
      <c r="N41" s="71">
        <f>Calculo!$F$97</f>
        <v>6316</v>
      </c>
      <c r="O41" s="168"/>
      <c r="P41" s="156"/>
    </row>
    <row r="42" spans="1:17" x14ac:dyDescent="0.25">
      <c r="A42" s="214"/>
      <c r="B42" s="215"/>
      <c r="C42" s="216"/>
      <c r="D42" s="217"/>
      <c r="E42" s="216"/>
      <c r="G42" s="216"/>
      <c r="H42" s="222">
        <v>2</v>
      </c>
      <c r="I42" s="223">
        <v>2</v>
      </c>
      <c r="J42" s="224"/>
      <c r="K42" s="225"/>
      <c r="L42" s="222" t="s">
        <v>115</v>
      </c>
      <c r="M42" s="172"/>
      <c r="N42" s="68">
        <f>+N43</f>
        <v>369988</v>
      </c>
      <c r="O42" s="66"/>
      <c r="P42" s="156"/>
    </row>
    <row r="43" spans="1:17" x14ac:dyDescent="0.25">
      <c r="A43" s="214"/>
      <c r="B43" s="215"/>
      <c r="C43" s="216"/>
      <c r="D43" s="217"/>
      <c r="E43" s="216"/>
      <c r="G43" s="216"/>
      <c r="I43" s="219"/>
      <c r="J43" s="216">
        <v>1</v>
      </c>
      <c r="K43" s="220"/>
      <c r="L43" s="158" t="s">
        <v>73</v>
      </c>
      <c r="M43" s="166"/>
      <c r="N43" s="71">
        <f>Calculo!$F$99</f>
        <v>369988</v>
      </c>
      <c r="O43" s="168"/>
      <c r="P43" s="156"/>
    </row>
    <row r="44" spans="1:17" x14ac:dyDescent="0.25">
      <c r="A44" s="214"/>
      <c r="B44" s="215"/>
      <c r="C44" s="216"/>
      <c r="D44" s="217"/>
      <c r="E44" s="216"/>
      <c r="G44" s="216"/>
      <c r="H44" s="222">
        <v>2</v>
      </c>
      <c r="I44" s="223">
        <v>3</v>
      </c>
      <c r="J44" s="224"/>
      <c r="K44" s="225"/>
      <c r="L44" s="222" t="s">
        <v>74</v>
      </c>
      <c r="M44" s="172"/>
      <c r="N44" s="68">
        <f>+N45</f>
        <v>221892</v>
      </c>
      <c r="O44" s="66"/>
      <c r="P44" s="156"/>
    </row>
    <row r="45" spans="1:17" x14ac:dyDescent="0.25">
      <c r="A45" s="214"/>
      <c r="B45" s="215"/>
      <c r="C45" s="216"/>
      <c r="D45" s="217"/>
      <c r="E45" s="216"/>
      <c r="G45" s="216"/>
      <c r="I45" s="219"/>
      <c r="J45" s="216">
        <v>1</v>
      </c>
      <c r="K45" s="220"/>
      <c r="L45" s="158" t="s">
        <v>75</v>
      </c>
      <c r="M45" s="166"/>
      <c r="N45" s="71">
        <f>Calculo!$F$105</f>
        <v>221892</v>
      </c>
      <c r="O45" s="168"/>
      <c r="P45" s="156"/>
    </row>
    <row r="46" spans="1:17" x14ac:dyDescent="0.25">
      <c r="A46" s="214"/>
      <c r="B46" s="215"/>
      <c r="C46" s="216"/>
      <c r="D46" s="217"/>
      <c r="E46" s="216"/>
      <c r="G46" s="216"/>
      <c r="H46" s="222">
        <v>2</v>
      </c>
      <c r="I46" s="223">
        <v>4</v>
      </c>
      <c r="J46" s="224"/>
      <c r="K46" s="225"/>
      <c r="L46" s="222" t="s">
        <v>116</v>
      </c>
      <c r="M46" s="172"/>
      <c r="N46" s="68">
        <f>+N47</f>
        <v>53855</v>
      </c>
      <c r="O46" s="66"/>
      <c r="P46" s="156"/>
    </row>
    <row r="47" spans="1:17" x14ac:dyDescent="0.25">
      <c r="A47" s="214"/>
      <c r="B47" s="215"/>
      <c r="C47" s="216"/>
      <c r="D47" s="217"/>
      <c r="E47" s="216"/>
      <c r="G47" s="216"/>
      <c r="I47" s="219"/>
      <c r="J47" s="216">
        <v>1</v>
      </c>
      <c r="K47" s="220"/>
      <c r="L47" s="158" t="s">
        <v>77</v>
      </c>
      <c r="M47" s="166"/>
      <c r="N47" s="71">
        <f>Calculo!$F$109</f>
        <v>53855</v>
      </c>
      <c r="O47" s="168"/>
      <c r="P47" s="156"/>
    </row>
    <row r="48" spans="1:17" x14ac:dyDescent="0.25">
      <c r="A48" s="214"/>
      <c r="B48" s="215"/>
      <c r="C48" s="216"/>
      <c r="D48" s="217"/>
      <c r="E48" s="216"/>
      <c r="G48" s="216"/>
      <c r="H48" s="222">
        <v>2</v>
      </c>
      <c r="I48" s="223">
        <v>5</v>
      </c>
      <c r="J48" s="224"/>
      <c r="K48" s="225"/>
      <c r="L48" s="222" t="s">
        <v>117</v>
      </c>
      <c r="M48" s="172"/>
      <c r="N48" s="68">
        <f>+N49+N50</f>
        <v>59106</v>
      </c>
      <c r="O48" s="66"/>
      <c r="P48" s="156"/>
    </row>
    <row r="49" spans="1:16" hidden="1" x14ac:dyDescent="0.25">
      <c r="A49" s="214"/>
      <c r="B49" s="215"/>
      <c r="C49" s="216"/>
      <c r="D49" s="217"/>
      <c r="E49" s="216"/>
      <c r="G49" s="216"/>
      <c r="I49" s="219"/>
      <c r="J49" s="216">
        <v>1</v>
      </c>
      <c r="K49" s="220"/>
      <c r="L49" s="158" t="s">
        <v>78</v>
      </c>
      <c r="M49" s="166"/>
      <c r="N49" s="71">
        <f>Calculo!F113</f>
        <v>0</v>
      </c>
      <c r="O49" s="168"/>
      <c r="P49" s="156"/>
    </row>
    <row r="50" spans="1:16" x14ac:dyDescent="0.25">
      <c r="A50" s="214"/>
      <c r="B50" s="215"/>
      <c r="C50" s="216"/>
      <c r="D50" s="217"/>
      <c r="E50" s="216"/>
      <c r="G50" s="216"/>
      <c r="I50" s="219"/>
      <c r="J50" s="216">
        <v>4</v>
      </c>
      <c r="K50" s="220"/>
      <c r="L50" s="158" t="s">
        <v>101</v>
      </c>
      <c r="M50" s="166"/>
      <c r="N50" s="71">
        <f>Calculo!$F$119</f>
        <v>59106</v>
      </c>
      <c r="O50" s="168"/>
      <c r="P50" s="156"/>
    </row>
    <row r="51" spans="1:16" x14ac:dyDescent="0.25">
      <c r="A51" s="214"/>
      <c r="B51" s="215"/>
      <c r="C51" s="216"/>
      <c r="D51" s="217"/>
      <c r="E51" s="216"/>
      <c r="G51" s="216"/>
      <c r="H51" s="222">
        <v>2</v>
      </c>
      <c r="I51" s="223">
        <v>6</v>
      </c>
      <c r="J51" s="224"/>
      <c r="K51" s="225"/>
      <c r="L51" s="222" t="s">
        <v>79</v>
      </c>
      <c r="M51" s="172"/>
      <c r="N51" s="68">
        <f>+N52+N53</f>
        <v>1501290</v>
      </c>
      <c r="O51" s="66"/>
      <c r="P51" s="156"/>
    </row>
    <row r="52" spans="1:16" x14ac:dyDescent="0.25">
      <c r="A52" s="214"/>
      <c r="B52" s="215"/>
      <c r="C52" s="216"/>
      <c r="D52" s="217"/>
      <c r="E52" s="216"/>
      <c r="G52" s="216"/>
      <c r="I52" s="219"/>
      <c r="J52" s="216">
        <v>2</v>
      </c>
      <c r="K52" s="220"/>
      <c r="L52" s="158" t="s">
        <v>223</v>
      </c>
      <c r="M52" s="166"/>
      <c r="N52" s="71">
        <f>Calculo!$F$127</f>
        <v>92646</v>
      </c>
      <c r="O52" s="168"/>
      <c r="P52" s="156"/>
    </row>
    <row r="53" spans="1:16" x14ac:dyDescent="0.25">
      <c r="A53" s="214"/>
      <c r="B53" s="215"/>
      <c r="C53" s="216"/>
      <c r="D53" s="217"/>
      <c r="E53" s="216"/>
      <c r="G53" s="216"/>
      <c r="I53" s="219"/>
      <c r="J53" s="216">
        <v>3</v>
      </c>
      <c r="K53" s="220"/>
      <c r="L53" s="158" t="s">
        <v>214</v>
      </c>
      <c r="M53" s="166"/>
      <c r="N53" s="71">
        <f>Calculo!$F$133</f>
        <v>1408644</v>
      </c>
      <c r="O53" s="168"/>
      <c r="P53" s="156"/>
    </row>
    <row r="54" spans="1:16" ht="29.25" x14ac:dyDescent="0.25">
      <c r="A54" s="214"/>
      <c r="B54" s="215"/>
      <c r="C54" s="216"/>
      <c r="D54" s="217"/>
      <c r="E54" s="216"/>
      <c r="G54" s="216"/>
      <c r="H54" s="222">
        <v>2</v>
      </c>
      <c r="I54" s="223">
        <v>7</v>
      </c>
      <c r="J54" s="224"/>
      <c r="K54" s="225"/>
      <c r="L54" s="227" t="s">
        <v>119</v>
      </c>
      <c r="M54" s="172"/>
      <c r="N54" s="764">
        <f>+N56+N58</f>
        <v>121080</v>
      </c>
      <c r="O54" s="66"/>
      <c r="P54" s="156"/>
    </row>
    <row r="55" spans="1:16" x14ac:dyDescent="0.25">
      <c r="A55" s="214"/>
      <c r="B55" s="215"/>
      <c r="C55" s="216"/>
      <c r="D55" s="217"/>
      <c r="E55" s="216"/>
      <c r="G55" s="216"/>
      <c r="I55" s="223"/>
      <c r="J55" s="224"/>
      <c r="K55" s="225"/>
      <c r="L55" s="227" t="s">
        <v>120</v>
      </c>
      <c r="M55" s="172"/>
      <c r="N55" s="764"/>
      <c r="O55" s="66"/>
      <c r="P55" s="156"/>
    </row>
    <row r="56" spans="1:16" x14ac:dyDescent="0.25">
      <c r="A56" s="214"/>
      <c r="B56" s="215"/>
      <c r="C56" s="216"/>
      <c r="D56" s="217"/>
      <c r="E56" s="216"/>
      <c r="G56" s="216"/>
      <c r="I56" s="219"/>
      <c r="J56" s="224">
        <v>1</v>
      </c>
      <c r="K56" s="220"/>
      <c r="L56" s="158" t="s">
        <v>121</v>
      </c>
      <c r="M56" s="166"/>
      <c r="N56" s="68">
        <f>+N57</f>
        <v>-25898</v>
      </c>
      <c r="O56" s="168"/>
      <c r="P56" s="156"/>
    </row>
    <row r="57" spans="1:16" x14ac:dyDescent="0.25">
      <c r="A57" s="214"/>
      <c r="B57" s="215"/>
      <c r="C57" s="216"/>
      <c r="D57" s="217"/>
      <c r="E57" s="216"/>
      <c r="G57" s="216"/>
      <c r="I57" s="219"/>
      <c r="J57" s="216"/>
      <c r="K57" s="220" t="s">
        <v>37</v>
      </c>
      <c r="L57" s="158" t="s">
        <v>122</v>
      </c>
      <c r="M57" s="166"/>
      <c r="N57" s="71">
        <f>Calculo!$F$140</f>
        <v>-25898</v>
      </c>
      <c r="O57" s="168"/>
      <c r="P57" s="156"/>
    </row>
    <row r="58" spans="1:16" x14ac:dyDescent="0.25">
      <c r="A58" s="214"/>
      <c r="B58" s="215"/>
      <c r="C58" s="216"/>
      <c r="D58" s="217"/>
      <c r="E58" s="216"/>
      <c r="G58" s="216"/>
      <c r="I58" s="219"/>
      <c r="J58" s="224">
        <v>2</v>
      </c>
      <c r="K58" s="220"/>
      <c r="L58" s="158" t="s">
        <v>82</v>
      </c>
      <c r="M58" s="166"/>
      <c r="N58" s="68">
        <f>+N59+N60+N61</f>
        <v>146978</v>
      </c>
      <c r="O58" s="168"/>
      <c r="P58" s="156"/>
    </row>
    <row r="59" spans="1:16" x14ac:dyDescent="0.25">
      <c r="A59" s="214"/>
      <c r="B59" s="215"/>
      <c r="C59" s="216"/>
      <c r="D59" s="217"/>
      <c r="E59" s="216"/>
      <c r="G59" s="216"/>
      <c r="I59" s="219"/>
      <c r="J59" s="216"/>
      <c r="K59" s="220" t="s">
        <v>35</v>
      </c>
      <c r="L59" s="158" t="s">
        <v>123</v>
      </c>
      <c r="M59" s="166"/>
      <c r="N59" s="159">
        <f>Calculo!$F$146+Calculo!$F$147</f>
        <v>64542</v>
      </c>
      <c r="O59" s="168"/>
      <c r="P59" s="156"/>
    </row>
    <row r="60" spans="1:16" x14ac:dyDescent="0.25">
      <c r="A60" s="214"/>
      <c r="B60" s="215"/>
      <c r="C60" s="216"/>
      <c r="D60" s="217"/>
      <c r="E60" s="216"/>
      <c r="G60" s="216"/>
      <c r="I60" s="219"/>
      <c r="J60" s="216"/>
      <c r="K60" s="220" t="s">
        <v>209</v>
      </c>
      <c r="L60" s="158" t="s">
        <v>124</v>
      </c>
      <c r="M60" s="166"/>
      <c r="N60" s="159">
        <f>Calculo!$F$148+Calculo!$F$149+Calculo!$F$150</f>
        <v>60781</v>
      </c>
      <c r="O60" s="168"/>
      <c r="P60" s="156"/>
    </row>
    <row r="61" spans="1:16" x14ac:dyDescent="0.25">
      <c r="A61" s="214"/>
      <c r="B61" s="215"/>
      <c r="C61" s="216"/>
      <c r="D61" s="217"/>
      <c r="E61" s="216"/>
      <c r="G61" s="216"/>
      <c r="I61" s="219"/>
      <c r="J61" s="216">
        <v>3</v>
      </c>
      <c r="K61" s="220" t="s">
        <v>35</v>
      </c>
      <c r="L61" s="158" t="s">
        <v>120</v>
      </c>
      <c r="M61" s="166"/>
      <c r="N61" s="159">
        <f>Calculo!$F$155</f>
        <v>21655</v>
      </c>
      <c r="O61" s="168"/>
      <c r="P61" s="156"/>
    </row>
    <row r="62" spans="1:16" x14ac:dyDescent="0.25">
      <c r="A62" s="214"/>
      <c r="B62" s="215"/>
      <c r="C62" s="216"/>
      <c r="D62" s="217"/>
      <c r="E62" s="216"/>
      <c r="G62" s="216"/>
      <c r="H62" s="222">
        <v>2</v>
      </c>
      <c r="I62" s="223">
        <v>8</v>
      </c>
      <c r="J62" s="224"/>
      <c r="K62" s="225"/>
      <c r="L62" s="222" t="s">
        <v>83</v>
      </c>
      <c r="M62" s="172"/>
      <c r="N62" s="67">
        <f>+N63+N64+N71+N69</f>
        <v>19210534</v>
      </c>
      <c r="O62" s="66"/>
      <c r="P62" s="156"/>
    </row>
    <row r="63" spans="1:16" x14ac:dyDescent="0.25">
      <c r="A63" s="214"/>
      <c r="B63" s="215"/>
      <c r="C63" s="216"/>
      <c r="D63" s="217"/>
      <c r="E63" s="216"/>
      <c r="G63" s="216"/>
      <c r="I63" s="219"/>
      <c r="J63" s="216">
        <v>4</v>
      </c>
      <c r="K63" s="220"/>
      <c r="L63" s="158" t="s">
        <v>102</v>
      </c>
      <c r="M63" s="166"/>
      <c r="N63" s="159">
        <f>Calculo!F161</f>
        <v>2244</v>
      </c>
      <c r="O63" s="168"/>
      <c r="P63" s="156"/>
    </row>
    <row r="64" spans="1:16" x14ac:dyDescent="0.25">
      <c r="A64" s="214"/>
      <c r="B64" s="215"/>
      <c r="C64" s="216"/>
      <c r="D64" s="217"/>
      <c r="E64" s="216"/>
      <c r="G64" s="216"/>
      <c r="I64" s="219"/>
      <c r="J64" s="224">
        <v>7</v>
      </c>
      <c r="K64" s="220"/>
      <c r="L64" s="158" t="s">
        <v>86</v>
      </c>
      <c r="M64" s="166"/>
      <c r="N64" s="67">
        <f>N65+N66+N67+N68</f>
        <v>18934289</v>
      </c>
      <c r="O64" s="168"/>
      <c r="P64" s="156"/>
    </row>
    <row r="65" spans="1:16" x14ac:dyDescent="0.25">
      <c r="A65" s="214"/>
      <c r="B65" s="215"/>
      <c r="C65" s="216"/>
      <c r="D65" s="217"/>
      <c r="E65" s="216"/>
      <c r="G65" s="216"/>
      <c r="I65" s="219"/>
      <c r="J65" s="224"/>
      <c r="K65" s="220" t="s">
        <v>197</v>
      </c>
      <c r="L65" s="158" t="s">
        <v>176</v>
      </c>
      <c r="M65" s="166"/>
      <c r="N65" s="159">
        <f>Calculo!E166</f>
        <v>7233400</v>
      </c>
      <c r="O65" s="168"/>
      <c r="P65" s="156"/>
    </row>
    <row r="66" spans="1:16" hidden="1" x14ac:dyDescent="0.25">
      <c r="A66" s="214"/>
      <c r="B66" s="215"/>
      <c r="C66" s="216"/>
      <c r="D66" s="217"/>
      <c r="E66" s="216"/>
      <c r="G66" s="216"/>
      <c r="I66" s="219"/>
      <c r="J66" s="216"/>
      <c r="K66" s="220" t="s">
        <v>160</v>
      </c>
      <c r="L66" s="158" t="s">
        <v>161</v>
      </c>
      <c r="M66" s="166"/>
      <c r="N66" s="159">
        <f>Calculo!F168</f>
        <v>0</v>
      </c>
      <c r="O66" s="168"/>
      <c r="P66" s="156"/>
    </row>
    <row r="67" spans="1:16" x14ac:dyDescent="0.25">
      <c r="A67" s="214"/>
      <c r="B67" s="215"/>
      <c r="C67" s="216"/>
      <c r="D67" s="217"/>
      <c r="E67" s="216"/>
      <c r="G67" s="216"/>
      <c r="I67" s="219"/>
      <c r="J67" s="216"/>
      <c r="K67" s="220" t="s">
        <v>199</v>
      </c>
      <c r="L67" s="158" t="s">
        <v>177</v>
      </c>
      <c r="M67" s="166"/>
      <c r="N67" s="159">
        <f>Calculo!F167</f>
        <v>60000</v>
      </c>
      <c r="O67" s="168"/>
      <c r="P67" s="156"/>
    </row>
    <row r="68" spans="1:16" x14ac:dyDescent="0.25">
      <c r="A68" s="214"/>
      <c r="B68" s="215"/>
      <c r="C68" s="216"/>
      <c r="D68" s="217"/>
      <c r="E68" s="216"/>
      <c r="G68" s="216"/>
      <c r="I68" s="219"/>
      <c r="J68" s="216"/>
      <c r="K68" s="220" t="s">
        <v>209</v>
      </c>
      <c r="L68" s="158" t="s">
        <v>178</v>
      </c>
      <c r="M68" s="166"/>
      <c r="N68" s="159">
        <f>ROUND(Calculo!$F$169,0)</f>
        <v>11640889</v>
      </c>
      <c r="O68" s="168"/>
      <c r="P68" s="156"/>
    </row>
    <row r="69" spans="1:16" x14ac:dyDescent="0.25">
      <c r="A69" s="214"/>
      <c r="B69" s="215"/>
      <c r="C69" s="216"/>
      <c r="D69" s="217"/>
      <c r="E69" s="216"/>
      <c r="G69" s="216"/>
      <c r="I69" s="219"/>
      <c r="J69" s="224">
        <v>8</v>
      </c>
      <c r="K69" s="220"/>
      <c r="L69" s="158" t="s">
        <v>171</v>
      </c>
      <c r="M69" s="166"/>
      <c r="N69" s="67">
        <f>+N70</f>
        <v>45340</v>
      </c>
      <c r="O69" s="168"/>
      <c r="P69" s="156"/>
    </row>
    <row r="70" spans="1:16" x14ac:dyDescent="0.25">
      <c r="A70" s="214"/>
      <c r="B70" s="215"/>
      <c r="C70" s="216"/>
      <c r="D70" s="217"/>
      <c r="E70" s="216"/>
      <c r="G70" s="216"/>
      <c r="I70" s="219"/>
      <c r="J70" s="216"/>
      <c r="K70" s="220" t="s">
        <v>35</v>
      </c>
      <c r="L70" s="158" t="s">
        <v>189</v>
      </c>
      <c r="M70" s="166"/>
      <c r="N70" s="159">
        <f>Calculo!$F$172</f>
        <v>45340</v>
      </c>
      <c r="O70" s="168"/>
      <c r="P70" s="156"/>
    </row>
    <row r="71" spans="1:16" x14ac:dyDescent="0.25">
      <c r="A71" s="214"/>
      <c r="B71" s="215"/>
      <c r="C71" s="216"/>
      <c r="D71" s="217"/>
      <c r="E71" s="216"/>
      <c r="G71" s="216"/>
      <c r="I71" s="219"/>
      <c r="J71" s="224">
        <v>9</v>
      </c>
      <c r="K71" s="220"/>
      <c r="L71" s="158" t="s">
        <v>125</v>
      </c>
      <c r="M71" s="166"/>
      <c r="N71" s="67">
        <f>+N72</f>
        <v>228661</v>
      </c>
      <c r="O71" s="168"/>
      <c r="P71" s="156"/>
    </row>
    <row r="72" spans="1:16" ht="15.75" thickBot="1" x14ac:dyDescent="0.3">
      <c r="A72" s="256"/>
      <c r="B72" s="257"/>
      <c r="C72" s="258"/>
      <c r="D72" s="259"/>
      <c r="E72" s="258"/>
      <c r="F72" s="228"/>
      <c r="G72" s="258"/>
      <c r="H72" s="228"/>
      <c r="I72" s="260"/>
      <c r="J72" s="258"/>
      <c r="K72" s="261" t="s">
        <v>199</v>
      </c>
      <c r="L72" s="228" t="s">
        <v>126</v>
      </c>
      <c r="M72" s="276"/>
      <c r="N72" s="151">
        <f>Calculo!$F$175+Calculo!F226</f>
        <v>228661</v>
      </c>
      <c r="O72" s="229"/>
      <c r="P72" s="156"/>
    </row>
    <row r="73" spans="1:16" x14ac:dyDescent="0.25">
      <c r="A73" s="262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156"/>
    </row>
    <row r="74" spans="1:16" x14ac:dyDescent="0.25">
      <c r="A74" s="541"/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156"/>
    </row>
    <row r="75" spans="1:16" x14ac:dyDescent="0.25">
      <c r="A75" s="541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156"/>
    </row>
    <row r="76" spans="1:16" x14ac:dyDescent="0.25">
      <c r="A76" s="541"/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156"/>
    </row>
    <row r="77" spans="1:16" x14ac:dyDescent="0.25">
      <c r="A77" s="541"/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156"/>
    </row>
    <row r="78" spans="1:16" x14ac:dyDescent="0.25">
      <c r="A78" s="541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156"/>
    </row>
    <row r="79" spans="1:16" x14ac:dyDescent="0.25">
      <c r="A79" s="541"/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156"/>
    </row>
    <row r="80" spans="1:16" x14ac:dyDescent="0.25">
      <c r="A80" s="541"/>
      <c r="B80" s="541"/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156"/>
    </row>
    <row r="81" spans="1:16" x14ac:dyDescent="0.25">
      <c r="A81" s="541"/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156"/>
    </row>
    <row r="82" spans="1:16" x14ac:dyDescent="0.25">
      <c r="A82" s="541"/>
      <c r="B82" s="541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156"/>
    </row>
    <row r="83" spans="1:16" ht="15.75" thickBot="1" x14ac:dyDescent="0.3">
      <c r="A83" s="541"/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156"/>
    </row>
    <row r="84" spans="1:16" x14ac:dyDescent="0.25">
      <c r="A84" s="746">
        <v>3</v>
      </c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8"/>
      <c r="P84" s="156"/>
    </row>
    <row r="85" spans="1:16" x14ac:dyDescent="0.25">
      <c r="A85" s="761" t="s">
        <v>33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3"/>
      <c r="P85" s="156"/>
    </row>
    <row r="86" spans="1:16" ht="18.75" x14ac:dyDescent="0.4">
      <c r="A86" s="230"/>
      <c r="M86" s="231" t="s">
        <v>156</v>
      </c>
      <c r="O86" s="232"/>
      <c r="P86" s="156"/>
    </row>
    <row r="87" spans="1:16" x14ac:dyDescent="0.25">
      <c r="A87" s="230"/>
      <c r="O87" s="263"/>
      <c r="P87" s="156"/>
    </row>
    <row r="88" spans="1:16" x14ac:dyDescent="0.25">
      <c r="A88" s="294" t="s">
        <v>564</v>
      </c>
      <c r="M88" s="295" t="s">
        <v>226</v>
      </c>
      <c r="O88" s="232"/>
      <c r="P88" s="156"/>
    </row>
    <row r="89" spans="1:16" x14ac:dyDescent="0.25">
      <c r="A89" s="294" t="s">
        <v>565</v>
      </c>
      <c r="M89" s="295" t="s">
        <v>1</v>
      </c>
      <c r="O89" s="232"/>
      <c r="P89" s="156"/>
    </row>
    <row r="90" spans="1:16" x14ac:dyDescent="0.25">
      <c r="A90" s="294" t="str">
        <f>+A8</f>
        <v>MES: DICIEMBRE</v>
      </c>
      <c r="M90" s="295" t="s">
        <v>2</v>
      </c>
      <c r="O90" s="232"/>
      <c r="P90" s="156"/>
    </row>
    <row r="91" spans="1:16" ht="15.75" thickBot="1" x14ac:dyDescent="0.3">
      <c r="A91" s="296" t="str">
        <f>+A9</f>
        <v>AÑO : 2022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 t="s">
        <v>3</v>
      </c>
      <c r="N91" s="297"/>
      <c r="O91" s="537"/>
      <c r="P91" s="156"/>
    </row>
    <row r="92" spans="1:16" ht="15.75" thickBot="1" x14ac:dyDescent="0.3">
      <c r="A92" s="456"/>
      <c r="O92" s="456"/>
      <c r="P92" s="156"/>
    </row>
    <row r="93" spans="1:16" ht="15.75" thickBot="1" x14ac:dyDescent="0.3">
      <c r="A93" s="751" t="s">
        <v>28</v>
      </c>
      <c r="B93" s="752"/>
      <c r="C93" s="752"/>
      <c r="D93" s="752"/>
      <c r="E93" s="752"/>
      <c r="F93" s="752"/>
      <c r="G93" s="752"/>
      <c r="H93" s="752"/>
      <c r="I93" s="752"/>
      <c r="J93" s="752"/>
      <c r="K93" s="540"/>
      <c r="L93" s="540"/>
      <c r="M93" s="753" t="s">
        <v>32</v>
      </c>
      <c r="N93" s="754"/>
      <c r="O93" s="755"/>
      <c r="P93" s="156"/>
    </row>
    <row r="94" spans="1:16" x14ac:dyDescent="0.25">
      <c r="A94" s="743" t="s">
        <v>9</v>
      </c>
      <c r="B94" s="744"/>
      <c r="C94" s="744"/>
      <c r="D94" s="744"/>
      <c r="E94" s="744"/>
      <c r="F94" s="744"/>
      <c r="G94" s="745"/>
      <c r="H94" s="756" t="s">
        <v>27</v>
      </c>
      <c r="I94" s="757"/>
      <c r="J94" s="757"/>
      <c r="K94" s="757"/>
      <c r="L94" s="758"/>
      <c r="M94" s="446" t="s">
        <v>29</v>
      </c>
      <c r="N94" s="447" t="s">
        <v>30</v>
      </c>
      <c r="O94" s="448" t="s">
        <v>31</v>
      </c>
      <c r="P94" s="156"/>
    </row>
    <row r="95" spans="1:16" x14ac:dyDescent="0.25">
      <c r="A95" s="264"/>
      <c r="B95" s="265" t="s">
        <v>19</v>
      </c>
      <c r="C95" s="266"/>
      <c r="D95" s="265"/>
      <c r="E95" s="266"/>
      <c r="F95" s="265"/>
      <c r="G95" s="266"/>
      <c r="H95" s="265"/>
      <c r="I95" s="265"/>
      <c r="J95" s="265"/>
      <c r="K95" s="265"/>
      <c r="L95" s="759"/>
      <c r="M95" s="237"/>
      <c r="N95" s="238"/>
      <c r="O95" s="239"/>
      <c r="P95" s="156"/>
    </row>
    <row r="96" spans="1:16" ht="15.75" thickBot="1" x14ac:dyDescent="0.3">
      <c r="A96" s="267" t="s">
        <v>18</v>
      </c>
      <c r="B96" s="268" t="s">
        <v>18</v>
      </c>
      <c r="C96" s="269" t="s">
        <v>20</v>
      </c>
      <c r="D96" s="268" t="s">
        <v>21</v>
      </c>
      <c r="E96" s="269" t="s">
        <v>22</v>
      </c>
      <c r="F96" s="268" t="s">
        <v>23</v>
      </c>
      <c r="G96" s="269" t="s">
        <v>24</v>
      </c>
      <c r="H96" s="268" t="s">
        <v>25</v>
      </c>
      <c r="I96" s="268" t="s">
        <v>4</v>
      </c>
      <c r="J96" s="268" t="s">
        <v>26</v>
      </c>
      <c r="K96" s="268" t="s">
        <v>155</v>
      </c>
      <c r="L96" s="760"/>
      <c r="M96" s="244" t="s">
        <v>11</v>
      </c>
      <c r="N96" s="270" t="s">
        <v>12</v>
      </c>
      <c r="O96" s="271" t="s">
        <v>13</v>
      </c>
      <c r="P96" s="156"/>
    </row>
    <row r="97" spans="1:16" x14ac:dyDescent="0.25">
      <c r="A97" s="247" t="s">
        <v>35</v>
      </c>
      <c r="B97" s="248" t="s">
        <v>36</v>
      </c>
      <c r="C97" s="249"/>
      <c r="D97" s="250" t="s">
        <v>35</v>
      </c>
      <c r="E97" s="249"/>
      <c r="F97" s="251" t="s">
        <v>179</v>
      </c>
      <c r="G97" s="249">
        <v>9998</v>
      </c>
      <c r="H97" s="251">
        <v>3</v>
      </c>
      <c r="I97" s="249"/>
      <c r="J97" s="272"/>
      <c r="K97" s="272"/>
      <c r="L97" s="249" t="s">
        <v>47</v>
      </c>
      <c r="M97" s="253"/>
      <c r="N97" s="273">
        <f>+N98+N100+N104+N107+N102</f>
        <v>1390570</v>
      </c>
      <c r="O97" s="167"/>
      <c r="P97" s="156"/>
    </row>
    <row r="98" spans="1:16" hidden="1" x14ac:dyDescent="0.25">
      <c r="A98" s="214"/>
      <c r="B98" s="215"/>
      <c r="C98" s="216"/>
      <c r="D98" s="217"/>
      <c r="E98" s="216"/>
      <c r="G98" s="216"/>
      <c r="I98" s="224">
        <v>32</v>
      </c>
      <c r="J98" s="274"/>
      <c r="K98" s="274"/>
      <c r="L98" s="224" t="s">
        <v>180</v>
      </c>
      <c r="M98" s="159"/>
      <c r="N98" s="172">
        <f>+N99</f>
        <v>0</v>
      </c>
      <c r="O98" s="168"/>
      <c r="P98" s="156"/>
    </row>
    <row r="99" spans="1:16" hidden="1" x14ac:dyDescent="0.25">
      <c r="A99" s="214"/>
      <c r="B99" s="215"/>
      <c r="C99" s="216"/>
      <c r="D99" s="217"/>
      <c r="E99" s="216"/>
      <c r="G99" s="216"/>
      <c r="I99" s="216"/>
      <c r="J99" s="274">
        <v>323</v>
      </c>
      <c r="K99" s="274"/>
      <c r="L99" s="216" t="s">
        <v>181</v>
      </c>
      <c r="M99" s="159"/>
      <c r="N99" s="166">
        <f>Calculo!F187</f>
        <v>0</v>
      </c>
      <c r="O99" s="168"/>
      <c r="P99" s="156"/>
    </row>
    <row r="100" spans="1:16" x14ac:dyDescent="0.25">
      <c r="A100" s="214"/>
      <c r="B100" s="215"/>
      <c r="C100" s="216"/>
      <c r="D100" s="217"/>
      <c r="E100" s="216"/>
      <c r="G100" s="216"/>
      <c r="I100" s="224">
        <v>3</v>
      </c>
      <c r="J100" s="275"/>
      <c r="K100" s="275"/>
      <c r="L100" s="224" t="s">
        <v>48</v>
      </c>
      <c r="M100" s="67"/>
      <c r="N100" s="172">
        <f>+N101</f>
        <v>262950</v>
      </c>
      <c r="O100" s="66"/>
      <c r="P100" s="156"/>
    </row>
    <row r="101" spans="1:16" x14ac:dyDescent="0.25">
      <c r="A101" s="214"/>
      <c r="B101" s="215"/>
      <c r="C101" s="216"/>
      <c r="D101" s="217"/>
      <c r="E101" s="216"/>
      <c r="G101" s="216"/>
      <c r="I101" s="216"/>
      <c r="J101" s="274">
        <v>1</v>
      </c>
      <c r="K101" s="274"/>
      <c r="L101" s="216" t="s">
        <v>49</v>
      </c>
      <c r="M101" s="159"/>
      <c r="N101" s="166">
        <f>Calculo!$F$191</f>
        <v>262950</v>
      </c>
      <c r="O101" s="168"/>
      <c r="P101" s="156"/>
    </row>
    <row r="102" spans="1:16" x14ac:dyDescent="0.25">
      <c r="A102" s="214"/>
      <c r="B102" s="215"/>
      <c r="C102" s="216"/>
      <c r="D102" s="217"/>
      <c r="E102" s="216"/>
      <c r="G102" s="216"/>
      <c r="H102" s="222">
        <v>3</v>
      </c>
      <c r="I102" s="224">
        <v>5</v>
      </c>
      <c r="J102" s="274"/>
      <c r="K102" s="274"/>
      <c r="L102" s="224" t="s">
        <v>50</v>
      </c>
      <c r="M102" s="159"/>
      <c r="N102" s="172">
        <f>+N103</f>
        <v>6244</v>
      </c>
      <c r="O102" s="168"/>
      <c r="P102" s="156"/>
    </row>
    <row r="103" spans="1:16" x14ac:dyDescent="0.25">
      <c r="A103" s="214"/>
      <c r="B103" s="215"/>
      <c r="C103" s="216"/>
      <c r="D103" s="217"/>
      <c r="E103" s="216"/>
      <c r="G103" s="216"/>
      <c r="I103" s="216"/>
      <c r="J103" s="274">
        <v>3</v>
      </c>
      <c r="K103" s="274"/>
      <c r="L103" s="216" t="s">
        <v>51</v>
      </c>
      <c r="M103" s="159"/>
      <c r="N103" s="166">
        <f>Calculo!$F$196</f>
        <v>6244</v>
      </c>
      <c r="O103" s="168"/>
      <c r="P103" s="156"/>
    </row>
    <row r="104" spans="1:16" x14ac:dyDescent="0.25">
      <c r="A104" s="214"/>
      <c r="B104" s="215"/>
      <c r="C104" s="216"/>
      <c r="D104" s="217"/>
      <c r="E104" s="216"/>
      <c r="G104" s="216"/>
      <c r="H104" s="222">
        <v>3</v>
      </c>
      <c r="I104" s="224">
        <v>7</v>
      </c>
      <c r="J104" s="275"/>
      <c r="K104" s="275"/>
      <c r="L104" s="224" t="s">
        <v>53</v>
      </c>
      <c r="M104" s="67"/>
      <c r="N104" s="172">
        <f>N105</f>
        <v>355012</v>
      </c>
      <c r="O104" s="66"/>
      <c r="P104" s="156"/>
    </row>
    <row r="105" spans="1:16" x14ac:dyDescent="0.25">
      <c r="A105" s="214"/>
      <c r="B105" s="215"/>
      <c r="C105" s="216"/>
      <c r="D105" s="217"/>
      <c r="E105" s="216"/>
      <c r="G105" s="216"/>
      <c r="H105" s="222"/>
      <c r="I105" s="216"/>
      <c r="J105" s="274">
        <v>1</v>
      </c>
      <c r="K105" s="274"/>
      <c r="L105" s="216" t="s">
        <v>52</v>
      </c>
      <c r="M105" s="159"/>
      <c r="N105" s="172">
        <f>N106</f>
        <v>355012</v>
      </c>
      <c r="O105" s="168"/>
      <c r="P105" s="156"/>
    </row>
    <row r="106" spans="1:16" x14ac:dyDescent="0.25">
      <c r="A106" s="214"/>
      <c r="B106" s="215"/>
      <c r="C106" s="216"/>
      <c r="D106" s="217"/>
      <c r="E106" s="216"/>
      <c r="G106" s="216"/>
      <c r="H106" s="222">
        <v>3</v>
      </c>
      <c r="I106" s="216">
        <v>7</v>
      </c>
      <c r="J106" s="274">
        <v>1</v>
      </c>
      <c r="K106" s="274">
        <v>1</v>
      </c>
      <c r="L106" s="216" t="s">
        <v>217</v>
      </c>
      <c r="M106" s="159"/>
      <c r="N106" s="166">
        <f>Calculo!$F$200</f>
        <v>355012</v>
      </c>
      <c r="O106" s="168"/>
      <c r="P106" s="156"/>
    </row>
    <row r="107" spans="1:16" x14ac:dyDescent="0.25">
      <c r="A107" s="214"/>
      <c r="B107" s="215"/>
      <c r="C107" s="216"/>
      <c r="D107" s="217"/>
      <c r="E107" s="216"/>
      <c r="G107" s="216"/>
      <c r="H107" s="222">
        <v>3</v>
      </c>
      <c r="I107" s="224">
        <v>9</v>
      </c>
      <c r="J107" s="274"/>
      <c r="K107" s="274"/>
      <c r="L107" s="224" t="s">
        <v>54</v>
      </c>
      <c r="M107" s="159"/>
      <c r="N107" s="172">
        <f>+N108+N109</f>
        <v>766364</v>
      </c>
      <c r="O107" s="168"/>
      <c r="P107" s="156"/>
    </row>
    <row r="108" spans="1:16" x14ac:dyDescent="0.25">
      <c r="A108" s="214"/>
      <c r="B108" s="215"/>
      <c r="C108" s="216"/>
      <c r="D108" s="217"/>
      <c r="E108" s="216"/>
      <c r="G108" s="216"/>
      <c r="I108" s="216"/>
      <c r="J108" s="274">
        <v>1</v>
      </c>
      <c r="K108" s="274"/>
      <c r="L108" s="216" t="s">
        <v>55</v>
      </c>
      <c r="M108" s="159"/>
      <c r="N108" s="166">
        <f>Calculo!$F$207</f>
        <v>26143</v>
      </c>
      <c r="O108" s="168"/>
      <c r="P108" s="156"/>
    </row>
    <row r="109" spans="1:16" x14ac:dyDescent="0.25">
      <c r="A109" s="214"/>
      <c r="B109" s="215"/>
      <c r="C109" s="216"/>
      <c r="D109" s="217"/>
      <c r="E109" s="216"/>
      <c r="G109" s="216"/>
      <c r="I109" s="216"/>
      <c r="J109" s="274">
        <v>9</v>
      </c>
      <c r="K109" s="274"/>
      <c r="L109" s="216" t="s">
        <v>56</v>
      </c>
      <c r="M109" s="159"/>
      <c r="N109" s="166">
        <f>Calculo!$F$212</f>
        <v>740221</v>
      </c>
      <c r="O109" s="168"/>
      <c r="P109" s="156"/>
    </row>
    <row r="110" spans="1:16" x14ac:dyDescent="0.25">
      <c r="A110" s="214"/>
      <c r="B110" s="215"/>
      <c r="C110" s="216"/>
      <c r="D110" s="217"/>
      <c r="E110" s="216"/>
      <c r="G110" s="216"/>
      <c r="H110" s="222">
        <v>4</v>
      </c>
      <c r="I110" s="224"/>
      <c r="J110" s="275"/>
      <c r="K110" s="275"/>
      <c r="L110" s="224"/>
      <c r="M110" s="67"/>
      <c r="N110" s="172"/>
      <c r="O110" s="168"/>
      <c r="P110" s="156"/>
    </row>
    <row r="111" spans="1:16" x14ac:dyDescent="0.25">
      <c r="A111" s="214"/>
      <c r="B111" s="215"/>
      <c r="C111" s="216"/>
      <c r="D111" s="217"/>
      <c r="E111" s="216"/>
      <c r="G111" s="216"/>
      <c r="H111" s="222"/>
      <c r="I111" s="224">
        <v>42</v>
      </c>
      <c r="J111" s="275"/>
      <c r="K111" s="275"/>
      <c r="L111" s="224"/>
      <c r="M111" s="67"/>
      <c r="N111" s="172"/>
      <c r="O111" s="168"/>
      <c r="P111" s="156"/>
    </row>
    <row r="112" spans="1:16" x14ac:dyDescent="0.25">
      <c r="A112" s="214"/>
      <c r="B112" s="215"/>
      <c r="C112" s="216"/>
      <c r="D112" s="217"/>
      <c r="E112" s="216"/>
      <c r="G112" s="216"/>
      <c r="I112" s="216"/>
      <c r="J112" s="274">
        <v>424</v>
      </c>
      <c r="K112" s="274"/>
      <c r="L112" s="216"/>
      <c r="M112" s="159"/>
      <c r="N112" s="166"/>
      <c r="O112" s="168"/>
      <c r="P112" s="156"/>
    </row>
    <row r="113" spans="1:16" x14ac:dyDescent="0.25">
      <c r="A113" s="214"/>
      <c r="B113" s="215"/>
      <c r="C113" s="216"/>
      <c r="D113" s="217"/>
      <c r="E113" s="216"/>
      <c r="G113" s="216"/>
      <c r="I113" s="216"/>
      <c r="J113" s="274"/>
      <c r="K113" s="274"/>
      <c r="L113" s="216"/>
      <c r="M113" s="159"/>
      <c r="N113" s="166"/>
      <c r="O113" s="168"/>
      <c r="P113" s="156"/>
    </row>
    <row r="114" spans="1:16" x14ac:dyDescent="0.25">
      <c r="A114" s="214"/>
      <c r="B114" s="215"/>
      <c r="C114" s="216"/>
      <c r="D114" s="217"/>
      <c r="E114" s="216"/>
      <c r="G114" s="216"/>
      <c r="I114" s="216"/>
      <c r="J114" s="274"/>
      <c r="K114" s="274"/>
      <c r="L114" s="216"/>
      <c r="M114" s="159"/>
      <c r="N114" s="166"/>
      <c r="O114" s="168"/>
      <c r="P114" s="156"/>
    </row>
    <row r="115" spans="1:16" x14ac:dyDescent="0.25">
      <c r="A115" s="214"/>
      <c r="B115" s="215"/>
      <c r="C115" s="216"/>
      <c r="D115" s="217"/>
      <c r="E115" s="216"/>
      <c r="G115" s="216"/>
      <c r="I115" s="216"/>
      <c r="J115" s="274"/>
      <c r="K115" s="274"/>
      <c r="L115" s="216"/>
      <c r="M115" s="159"/>
      <c r="N115" s="166"/>
      <c r="O115" s="168"/>
      <c r="P115" s="156"/>
    </row>
    <row r="116" spans="1:16" x14ac:dyDescent="0.25">
      <c r="A116" s="214"/>
      <c r="B116" s="215"/>
      <c r="C116" s="216"/>
      <c r="D116" s="217"/>
      <c r="E116" s="216"/>
      <c r="F116" s="216"/>
      <c r="G116" s="274"/>
      <c r="I116" s="216"/>
      <c r="J116" s="274"/>
      <c r="K116" s="274"/>
      <c r="L116" s="216"/>
      <c r="M116" s="159"/>
      <c r="N116" s="166"/>
      <c r="O116" s="168"/>
      <c r="P116" s="156"/>
    </row>
    <row r="117" spans="1:16" x14ac:dyDescent="0.25">
      <c r="A117" s="214"/>
      <c r="B117" s="215"/>
      <c r="C117" s="216"/>
      <c r="D117" s="217"/>
      <c r="E117" s="216"/>
      <c r="F117" s="216"/>
      <c r="G117" s="274"/>
      <c r="I117" s="216"/>
      <c r="J117" s="274"/>
      <c r="K117" s="274"/>
      <c r="L117" s="216"/>
      <c r="M117" s="159"/>
      <c r="N117" s="166"/>
      <c r="O117" s="168"/>
      <c r="P117" s="156"/>
    </row>
    <row r="118" spans="1:16" x14ac:dyDescent="0.25">
      <c r="A118" s="214"/>
      <c r="B118" s="215"/>
      <c r="C118" s="216"/>
      <c r="D118" s="217"/>
      <c r="E118" s="216"/>
      <c r="F118" s="216"/>
      <c r="G118" s="274"/>
      <c r="I118" s="216"/>
      <c r="J118" s="274"/>
      <c r="K118" s="274"/>
      <c r="L118" s="216"/>
      <c r="M118" s="159"/>
      <c r="N118" s="166"/>
      <c r="O118" s="168"/>
      <c r="P118" s="156"/>
    </row>
    <row r="119" spans="1:16" x14ac:dyDescent="0.25">
      <c r="A119" s="214"/>
      <c r="B119" s="215"/>
      <c r="C119" s="216"/>
      <c r="D119" s="217"/>
      <c r="E119" s="216"/>
      <c r="F119" s="216"/>
      <c r="G119" s="274"/>
      <c r="I119" s="216"/>
      <c r="J119" s="216"/>
      <c r="K119" s="216"/>
      <c r="L119" s="216"/>
      <c r="M119" s="159"/>
      <c r="N119" s="166"/>
      <c r="O119" s="168"/>
      <c r="P119" s="156"/>
    </row>
    <row r="120" spans="1:16" x14ac:dyDescent="0.25">
      <c r="A120" s="214"/>
      <c r="B120" s="215"/>
      <c r="C120" s="216"/>
      <c r="D120" s="217"/>
      <c r="E120" s="216"/>
      <c r="F120" s="216"/>
      <c r="H120" s="219"/>
      <c r="I120" s="219"/>
      <c r="J120" s="216"/>
      <c r="K120" s="216"/>
      <c r="L120" s="216"/>
      <c r="M120" s="159"/>
      <c r="N120" s="166"/>
      <c r="O120" s="168"/>
      <c r="P120" s="156"/>
    </row>
    <row r="121" spans="1:16" ht="15.75" thickBot="1" x14ac:dyDescent="0.3">
      <c r="A121" s="256"/>
      <c r="B121" s="257"/>
      <c r="C121" s="258"/>
      <c r="D121" s="259"/>
      <c r="E121" s="258"/>
      <c r="F121" s="258"/>
      <c r="G121" s="228"/>
      <c r="H121" s="260"/>
      <c r="I121" s="260"/>
      <c r="J121" s="258"/>
      <c r="K121" s="258"/>
      <c r="L121" s="258"/>
      <c r="M121" s="151"/>
      <c r="N121" s="276"/>
      <c r="O121" s="229"/>
      <c r="P121" s="156"/>
    </row>
    <row r="122" spans="1:16" ht="15.75" thickBot="1" x14ac:dyDescent="0.3">
      <c r="A122" s="277"/>
      <c r="B122" s="278"/>
      <c r="C122" s="279"/>
      <c r="D122" s="280"/>
      <c r="E122" s="279"/>
      <c r="F122" s="279"/>
      <c r="G122" s="749" t="s">
        <v>41</v>
      </c>
      <c r="H122" s="749"/>
      <c r="I122" s="749"/>
      <c r="J122" s="750"/>
      <c r="K122" s="542"/>
      <c r="L122" s="542"/>
      <c r="M122" s="281"/>
      <c r="N122" s="282">
        <f>+N15+N35+N97+N110</f>
        <v>39219664</v>
      </c>
      <c r="O122" s="282">
        <f>+O15+O35+O97</f>
        <v>0</v>
      </c>
    </row>
    <row r="123" spans="1:16" ht="15.75" thickTop="1" x14ac:dyDescent="0.25">
      <c r="M123" s="213"/>
      <c r="N123" s="156"/>
      <c r="O123" s="156"/>
    </row>
    <row r="124" spans="1:16" x14ac:dyDescent="0.25">
      <c r="M124" s="213"/>
      <c r="N124" s="156"/>
      <c r="O124" s="156"/>
    </row>
    <row r="125" spans="1:16" x14ac:dyDescent="0.25">
      <c r="M125" s="213"/>
      <c r="N125" s="156"/>
      <c r="O125" s="156"/>
    </row>
    <row r="126" spans="1:16" x14ac:dyDescent="0.25">
      <c r="M126" s="213"/>
      <c r="N126" s="156"/>
      <c r="O126" s="156"/>
    </row>
    <row r="127" spans="1:16" x14ac:dyDescent="0.25">
      <c r="M127" s="213"/>
      <c r="N127" s="156"/>
      <c r="O127" s="156"/>
    </row>
    <row r="128" spans="1:16" x14ac:dyDescent="0.25">
      <c r="M128" s="213"/>
      <c r="N128" s="156"/>
      <c r="O128" s="156"/>
    </row>
    <row r="129" spans="1:15" x14ac:dyDescent="0.25">
      <c r="M129" s="213"/>
      <c r="N129" s="156"/>
      <c r="O129" s="156"/>
    </row>
    <row r="130" spans="1:15" x14ac:dyDescent="0.25">
      <c r="M130" s="213"/>
      <c r="N130" s="156"/>
      <c r="O130" s="156"/>
    </row>
    <row r="131" spans="1:15" x14ac:dyDescent="0.25">
      <c r="M131" s="213"/>
      <c r="N131" s="156"/>
      <c r="O131" s="156"/>
    </row>
    <row r="132" spans="1:15" x14ac:dyDescent="0.25">
      <c r="M132" s="213"/>
      <c r="N132" s="156"/>
      <c r="O132" s="156"/>
    </row>
    <row r="133" spans="1:15" x14ac:dyDescent="0.25">
      <c r="M133" s="213"/>
      <c r="N133" s="156"/>
      <c r="O133" s="156"/>
    </row>
    <row r="134" spans="1:15" x14ac:dyDescent="0.25">
      <c r="M134" s="213"/>
      <c r="N134" s="156"/>
      <c r="O134" s="156"/>
    </row>
    <row r="135" spans="1:15" x14ac:dyDescent="0.25">
      <c r="M135" s="213"/>
      <c r="N135" s="156"/>
      <c r="O135" s="156"/>
    </row>
    <row r="137" spans="1:15" x14ac:dyDescent="0.25">
      <c r="A137" s="740" t="str">
        <f>+Hoja1!B63</f>
        <v>LIC.  MARICELA CHECO</v>
      </c>
      <c r="B137" s="740"/>
      <c r="C137" s="740"/>
      <c r="D137" s="740"/>
      <c r="E137" s="740"/>
      <c r="F137" s="740"/>
      <c r="G137" s="740"/>
      <c r="H137" s="740"/>
      <c r="I137" s="740"/>
      <c r="J137" s="740"/>
      <c r="K137" s="740"/>
      <c r="L137" s="740" t="str">
        <f>+Hoja1!G63</f>
        <v xml:space="preserve">FERNANDO DURÁN </v>
      </c>
      <c r="M137" s="740"/>
      <c r="N137" s="740"/>
      <c r="O137" s="740"/>
    </row>
    <row r="138" spans="1:15" x14ac:dyDescent="0.25">
      <c r="A138" s="741" t="str">
        <f>+Hoja1!B64</f>
        <v>Responsable del Registro</v>
      </c>
      <c r="B138" s="741"/>
      <c r="C138" s="741"/>
      <c r="D138" s="741"/>
      <c r="E138" s="741"/>
      <c r="F138" s="741"/>
      <c r="G138" s="741"/>
      <c r="H138" s="741"/>
      <c r="I138" s="741"/>
      <c r="J138" s="741"/>
      <c r="K138" s="741"/>
      <c r="L138" s="741" t="s">
        <v>212</v>
      </c>
      <c r="M138" s="741"/>
      <c r="N138" s="741"/>
      <c r="O138" s="741"/>
    </row>
    <row r="139" spans="1:15" x14ac:dyDescent="0.25">
      <c r="A139" s="742" t="str">
        <f>+Hoja1!B65</f>
        <v xml:space="preserve">Contralor </v>
      </c>
      <c r="B139" s="742"/>
      <c r="C139" s="742"/>
      <c r="D139" s="742"/>
      <c r="E139" s="742"/>
      <c r="F139" s="742"/>
      <c r="G139" s="742"/>
      <c r="H139" s="742"/>
      <c r="I139" s="742"/>
      <c r="J139" s="742"/>
      <c r="K139" s="742"/>
      <c r="L139" s="741" t="str">
        <f>+Hoja1!G65</f>
        <v>ADMINSTRADOR GENERAL</v>
      </c>
      <c r="M139" s="741"/>
      <c r="N139" s="741"/>
      <c r="O139" s="741"/>
    </row>
  </sheetData>
  <mergeCells count="22">
    <mergeCell ref="N54:N55"/>
    <mergeCell ref="L13:L14"/>
    <mergeCell ref="A2:O2"/>
    <mergeCell ref="A12:G12"/>
    <mergeCell ref="A11:J11"/>
    <mergeCell ref="M11:O11"/>
    <mergeCell ref="A3:O3"/>
    <mergeCell ref="H12:L12"/>
    <mergeCell ref="A94:G94"/>
    <mergeCell ref="A84:O84"/>
    <mergeCell ref="G122:J122"/>
    <mergeCell ref="A93:J93"/>
    <mergeCell ref="M93:O93"/>
    <mergeCell ref="H94:L94"/>
    <mergeCell ref="L95:L96"/>
    <mergeCell ref="A85:O85"/>
    <mergeCell ref="A137:K137"/>
    <mergeCell ref="A138:K138"/>
    <mergeCell ref="A139:K139"/>
    <mergeCell ref="L137:O137"/>
    <mergeCell ref="L139:O139"/>
    <mergeCell ref="L138:O138"/>
  </mergeCells>
  <phoneticPr fontId="0" type="noConversion"/>
  <pageMargins left="0.35433070866141736" right="0.27559055118110237" top="0.55118110236220474" bottom="0.98425196850393704" header="0.27559055118110237" footer="0"/>
  <pageSetup scale="60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5"/>
  <sheetViews>
    <sheetView topLeftCell="A127" zoomScale="120" zoomScaleNormal="120" workbookViewId="0">
      <selection activeCell="A93" sqref="A93:XFD94"/>
    </sheetView>
  </sheetViews>
  <sheetFormatPr defaultColWidth="11.42578125" defaultRowHeight="12.75" x14ac:dyDescent="0.2"/>
  <cols>
    <col min="1" max="2" width="6.140625" style="254" bestFit="1" customWidth="1"/>
    <col min="3" max="3" width="6" style="254" bestFit="1" customWidth="1"/>
    <col min="4" max="4" width="9.85546875" style="254" bestFit="1" customWidth="1"/>
    <col min="5" max="5" width="8.7109375" style="254" bestFit="1" customWidth="1"/>
    <col min="6" max="6" width="6.28515625" style="254" bestFit="1" customWidth="1"/>
    <col min="7" max="7" width="6.7109375" style="254" customWidth="1"/>
    <col min="8" max="8" width="4.5703125" style="254" customWidth="1"/>
    <col min="9" max="9" width="7.5703125" style="254" bestFit="1" customWidth="1"/>
    <col min="10" max="10" width="7.7109375" style="254" bestFit="1" customWidth="1"/>
    <col min="11" max="11" width="4.42578125" style="254" bestFit="1" customWidth="1"/>
    <col min="12" max="12" width="30.7109375" style="254" customWidth="1"/>
    <col min="13" max="13" width="22" style="254" customWidth="1"/>
    <col min="14" max="14" width="15.28515625" style="254" customWidth="1"/>
    <col min="15" max="15" width="6.42578125" style="254" customWidth="1"/>
    <col min="16" max="16" width="11" style="254" bestFit="1" customWidth="1"/>
    <col min="17" max="18" width="12.7109375" style="254" customWidth="1"/>
    <col min="19" max="16384" width="11.42578125" style="254"/>
  </cols>
  <sheetData>
    <row r="1" spans="1:18" ht="13.5" thickBot="1" x14ac:dyDescent="0.25"/>
    <row r="2" spans="1:18" x14ac:dyDescent="0.2">
      <c r="A2" s="796" t="s">
        <v>173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8"/>
    </row>
    <row r="3" spans="1:18" x14ac:dyDescent="0.2">
      <c r="A3" s="799" t="s">
        <v>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1"/>
    </row>
    <row r="4" spans="1:18" ht="15" x14ac:dyDescent="0.3">
      <c r="A4" s="292"/>
      <c r="M4" s="809" t="s">
        <v>158</v>
      </c>
      <c r="N4" s="809"/>
      <c r="O4" s="293"/>
    </row>
    <row r="5" spans="1:18" x14ac:dyDescent="0.2">
      <c r="A5" s="292"/>
      <c r="O5" s="293"/>
    </row>
    <row r="6" spans="1:18" x14ac:dyDescent="0.2">
      <c r="A6" s="794" t="s">
        <v>564</v>
      </c>
      <c r="B6" s="795"/>
      <c r="C6" s="795"/>
      <c r="D6" s="795"/>
      <c r="E6" s="795"/>
      <c r="F6" s="795"/>
      <c r="G6" s="795"/>
      <c r="H6" s="795"/>
      <c r="M6" s="295" t="s">
        <v>227</v>
      </c>
      <c r="O6" s="293"/>
    </row>
    <row r="7" spans="1:18" x14ac:dyDescent="0.2">
      <c r="A7" s="794" t="s">
        <v>565</v>
      </c>
      <c r="B7" s="795"/>
      <c r="C7" s="795"/>
      <c r="D7" s="795"/>
      <c r="E7" s="795"/>
      <c r="F7" s="795"/>
      <c r="G7" s="795"/>
      <c r="H7" s="795"/>
      <c r="M7" s="295" t="s">
        <v>1</v>
      </c>
      <c r="O7" s="293"/>
    </row>
    <row r="8" spans="1:18" x14ac:dyDescent="0.2">
      <c r="A8" s="794" t="str">
        <f>Hoja1!$B$8</f>
        <v>MES: DICIEMBRE</v>
      </c>
      <c r="B8" s="795"/>
      <c r="C8" s="795"/>
      <c r="D8" s="795"/>
      <c r="E8" s="795"/>
      <c r="F8" s="795"/>
      <c r="G8" s="795"/>
      <c r="H8" s="795"/>
      <c r="M8" s="295" t="s">
        <v>2</v>
      </c>
      <c r="O8" s="293"/>
    </row>
    <row r="9" spans="1:18" ht="13.5" thickBot="1" x14ac:dyDescent="0.25">
      <c r="A9" s="296" t="str">
        <f>Hoja1!B9</f>
        <v>AÑO : 2022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 t="s">
        <v>3</v>
      </c>
      <c r="N9" s="297"/>
      <c r="O9" s="537"/>
    </row>
    <row r="10" spans="1:18" ht="13.5" thickBot="1" x14ac:dyDescent="0.25"/>
    <row r="11" spans="1:18" s="298" customFormat="1" x14ac:dyDescent="0.2">
      <c r="A11" s="802" t="s">
        <v>28</v>
      </c>
      <c r="B11" s="803"/>
      <c r="C11" s="803"/>
      <c r="D11" s="803"/>
      <c r="E11" s="803"/>
      <c r="F11" s="803"/>
      <c r="G11" s="803"/>
      <c r="H11" s="803"/>
      <c r="I11" s="803"/>
      <c r="J11" s="803"/>
      <c r="K11" s="546"/>
      <c r="L11" s="546"/>
      <c r="M11" s="804" t="s">
        <v>32</v>
      </c>
      <c r="N11" s="803"/>
      <c r="O11" s="805"/>
    </row>
    <row r="12" spans="1:18" s="298" customFormat="1" x14ac:dyDescent="0.2">
      <c r="A12" s="806" t="s">
        <v>9</v>
      </c>
      <c r="B12" s="807"/>
      <c r="C12" s="807"/>
      <c r="D12" s="807"/>
      <c r="E12" s="807"/>
      <c r="F12" s="807"/>
      <c r="G12" s="808"/>
      <c r="H12" s="779" t="s">
        <v>27</v>
      </c>
      <c r="I12" s="780"/>
      <c r="J12" s="780"/>
      <c r="K12" s="780"/>
      <c r="L12" s="781"/>
      <c r="M12" s="441" t="s">
        <v>29</v>
      </c>
      <c r="N12" s="442" t="s">
        <v>30</v>
      </c>
      <c r="O12" s="443" t="s">
        <v>31</v>
      </c>
    </row>
    <row r="13" spans="1:18" s="298" customFormat="1" x14ac:dyDescent="0.2">
      <c r="A13" s="264"/>
      <c r="B13" s="265" t="s">
        <v>19</v>
      </c>
      <c r="C13" s="266"/>
      <c r="D13" s="265"/>
      <c r="E13" s="266"/>
      <c r="F13" s="265"/>
      <c r="G13" s="266"/>
      <c r="H13" s="265"/>
      <c r="I13" s="265"/>
      <c r="J13" s="265"/>
      <c r="K13" s="265"/>
      <c r="L13" s="782"/>
      <c r="M13" s="299"/>
      <c r="N13" s="285"/>
      <c r="O13" s="300"/>
      <c r="R13" s="301"/>
    </row>
    <row r="14" spans="1:18" s="298" customFormat="1" ht="13.5" thickBot="1" x14ac:dyDescent="0.25">
      <c r="A14" s="240" t="s">
        <v>18</v>
      </c>
      <c r="B14" s="241" t="s">
        <v>18</v>
      </c>
      <c r="C14" s="242" t="s">
        <v>20</v>
      </c>
      <c r="D14" s="241" t="s">
        <v>21</v>
      </c>
      <c r="E14" s="242" t="s">
        <v>22</v>
      </c>
      <c r="F14" s="241" t="s">
        <v>23</v>
      </c>
      <c r="G14" s="242" t="s">
        <v>24</v>
      </c>
      <c r="H14" s="241" t="s">
        <v>25</v>
      </c>
      <c r="I14" s="241" t="s">
        <v>4</v>
      </c>
      <c r="J14" s="241" t="s">
        <v>26</v>
      </c>
      <c r="K14" s="241" t="s">
        <v>155</v>
      </c>
      <c r="L14" s="783"/>
      <c r="M14" s="286" t="s">
        <v>11</v>
      </c>
      <c r="N14" s="286" t="s">
        <v>12</v>
      </c>
      <c r="O14" s="445" t="s">
        <v>13</v>
      </c>
      <c r="R14" s="301"/>
    </row>
    <row r="15" spans="1:18" x14ac:dyDescent="0.2">
      <c r="A15" s="302" t="s">
        <v>35</v>
      </c>
      <c r="B15" s="303" t="s">
        <v>36</v>
      </c>
      <c r="C15" s="304"/>
      <c r="D15" s="305" t="s">
        <v>37</v>
      </c>
      <c r="E15" s="304"/>
      <c r="F15" s="306" t="s">
        <v>179</v>
      </c>
      <c r="G15" s="304"/>
      <c r="H15" s="306">
        <v>1</v>
      </c>
      <c r="I15" s="304">
        <v>1</v>
      </c>
      <c r="J15" s="307">
        <v>1</v>
      </c>
      <c r="K15" s="304"/>
      <c r="L15" s="308" t="s">
        <v>57</v>
      </c>
      <c r="M15" s="309"/>
      <c r="N15" s="287">
        <f>ROUND(N16+N33+N30+N26,0)</f>
        <v>16034519</v>
      </c>
      <c r="O15" s="711"/>
      <c r="P15" s="310"/>
      <c r="R15" s="311"/>
    </row>
    <row r="16" spans="1:18" x14ac:dyDescent="0.2">
      <c r="A16" s="312"/>
      <c r="B16" s="313"/>
      <c r="C16" s="314"/>
      <c r="D16" s="49"/>
      <c r="E16" s="314"/>
      <c r="G16" s="314"/>
      <c r="H16" s="254">
        <v>1</v>
      </c>
      <c r="I16" s="309">
        <v>1</v>
      </c>
      <c r="J16" s="308"/>
      <c r="K16" s="309"/>
      <c r="L16" s="308" t="s">
        <v>58</v>
      </c>
      <c r="M16" s="309"/>
      <c r="N16" s="165">
        <f>ROUND(N17+N20+N23+N24,0)</f>
        <v>14994661</v>
      </c>
      <c r="O16" s="315">
        <f>+O18+O19</f>
        <v>0</v>
      </c>
      <c r="P16" s="310"/>
      <c r="R16" s="311"/>
    </row>
    <row r="17" spans="1:16" x14ac:dyDescent="0.2">
      <c r="A17" s="312"/>
      <c r="B17" s="313"/>
      <c r="C17" s="314"/>
      <c r="D17" s="49"/>
      <c r="E17" s="314"/>
      <c r="G17" s="314"/>
      <c r="I17" s="309"/>
      <c r="J17" s="308">
        <v>1</v>
      </c>
      <c r="K17" s="309"/>
      <c r="L17" s="308" t="s">
        <v>131</v>
      </c>
      <c r="M17" s="309"/>
      <c r="N17" s="288">
        <f>ROUND(N18+N19,0)</f>
        <v>9134431</v>
      </c>
      <c r="O17" s="315"/>
      <c r="P17" s="310"/>
    </row>
    <row r="18" spans="1:16" x14ac:dyDescent="0.2">
      <c r="A18" s="312"/>
      <c r="B18" s="313"/>
      <c r="C18" s="314"/>
      <c r="D18" s="49"/>
      <c r="E18" s="314"/>
      <c r="G18" s="316" t="s">
        <v>43</v>
      </c>
      <c r="I18" s="314"/>
      <c r="J18" s="317"/>
      <c r="K18" s="318" t="s">
        <v>35</v>
      </c>
      <c r="L18" s="317" t="s">
        <v>103</v>
      </c>
      <c r="M18" s="314"/>
      <c r="N18" s="345">
        <f>ROUND(Hoja1!I19*0.15,0)</f>
        <v>5769643</v>
      </c>
      <c r="O18" s="173"/>
      <c r="P18" s="310"/>
    </row>
    <row r="19" spans="1:16" x14ac:dyDescent="0.2">
      <c r="A19" s="312"/>
      <c r="B19" s="313"/>
      <c r="C19" s="314"/>
      <c r="D19" s="49"/>
      <c r="E19" s="314"/>
      <c r="G19" s="314">
        <v>9998</v>
      </c>
      <c r="I19" s="314"/>
      <c r="J19" s="317"/>
      <c r="K19" s="318" t="s">
        <v>35</v>
      </c>
      <c r="L19" s="317" t="s">
        <v>103</v>
      </c>
      <c r="M19" s="314"/>
      <c r="N19" s="164">
        <f>ROUND(Calculo!$G$52-N18,0)</f>
        <v>3364788</v>
      </c>
      <c r="O19" s="173"/>
      <c r="P19" s="310"/>
    </row>
    <row r="20" spans="1:16" x14ac:dyDescent="0.2">
      <c r="A20" s="312"/>
      <c r="B20" s="313"/>
      <c r="C20" s="314"/>
      <c r="D20" s="49"/>
      <c r="E20" s="314"/>
      <c r="G20" s="314">
        <v>9998</v>
      </c>
      <c r="I20" s="314"/>
      <c r="J20" s="308">
        <v>2</v>
      </c>
      <c r="K20" s="319"/>
      <c r="L20" s="317" t="s">
        <v>60</v>
      </c>
      <c r="M20" s="314"/>
      <c r="N20" s="165">
        <f>ROUND(N21+N22,0)</f>
        <v>32958</v>
      </c>
      <c r="O20" s="173"/>
      <c r="P20" s="310"/>
    </row>
    <row r="21" spans="1:16" ht="15" x14ac:dyDescent="0.25">
      <c r="A21" s="312"/>
      <c r="B21" s="313"/>
      <c r="C21" s="314"/>
      <c r="D21" s="49"/>
      <c r="E21" s="314"/>
      <c r="G21" s="314"/>
      <c r="I21" s="314"/>
      <c r="J21" s="317"/>
      <c r="K21" s="318" t="s">
        <v>197</v>
      </c>
      <c r="L21" s="274" t="s">
        <v>566</v>
      </c>
      <c r="M21" s="314"/>
      <c r="N21" s="164">
        <f>Calculo!$G$55</f>
        <v>32958</v>
      </c>
      <c r="O21" s="173"/>
      <c r="P21" s="310"/>
    </row>
    <row r="22" spans="1:16" ht="15" hidden="1" x14ac:dyDescent="0.25">
      <c r="A22" s="312"/>
      <c r="B22" s="313"/>
      <c r="C22" s="314"/>
      <c r="D22" s="49"/>
      <c r="E22" s="314"/>
      <c r="G22" s="316" t="s">
        <v>43</v>
      </c>
      <c r="H22" s="254">
        <v>1</v>
      </c>
      <c r="I22" s="314">
        <v>1</v>
      </c>
      <c r="J22" s="317">
        <v>2</v>
      </c>
      <c r="K22" s="318" t="s">
        <v>198</v>
      </c>
      <c r="L22" s="158" t="s">
        <v>225</v>
      </c>
      <c r="M22" s="314"/>
      <c r="N22" s="164">
        <f>Calculo!G56</f>
        <v>0</v>
      </c>
      <c r="O22" s="173"/>
      <c r="P22" s="310"/>
    </row>
    <row r="23" spans="1:16" x14ac:dyDescent="0.2">
      <c r="A23" s="312"/>
      <c r="B23" s="313"/>
      <c r="C23" s="314"/>
      <c r="D23" s="49"/>
      <c r="E23" s="314"/>
      <c r="G23" s="314">
        <v>9998</v>
      </c>
      <c r="I23" s="314"/>
      <c r="J23" s="308">
        <v>4</v>
      </c>
      <c r="K23" s="319"/>
      <c r="L23" s="317" t="s">
        <v>132</v>
      </c>
      <c r="M23" s="314"/>
      <c r="N23" s="164">
        <f>Calculo!$G$61</f>
        <v>1937400</v>
      </c>
      <c r="O23" s="173"/>
      <c r="P23" s="310"/>
    </row>
    <row r="24" spans="1:16" x14ac:dyDescent="0.2">
      <c r="A24" s="312"/>
      <c r="B24" s="313"/>
      <c r="C24" s="314"/>
      <c r="D24" s="49"/>
      <c r="E24" s="314"/>
      <c r="G24" s="314">
        <v>9998</v>
      </c>
      <c r="I24" s="314"/>
      <c r="J24" s="308">
        <v>5</v>
      </c>
      <c r="K24" s="319"/>
      <c r="L24" s="317" t="s">
        <v>61</v>
      </c>
      <c r="M24" s="314"/>
      <c r="N24" s="165">
        <f>+N25</f>
        <v>3889872</v>
      </c>
      <c r="O24" s="173"/>
      <c r="P24" s="310"/>
    </row>
    <row r="25" spans="1:16" x14ac:dyDescent="0.2">
      <c r="A25" s="312"/>
      <c r="B25" s="313"/>
      <c r="C25" s="314"/>
      <c r="D25" s="49"/>
      <c r="E25" s="314"/>
      <c r="G25" s="314"/>
      <c r="I25" s="314"/>
      <c r="J25" s="317"/>
      <c r="K25" s="318" t="s">
        <v>35</v>
      </c>
      <c r="L25" s="254" t="s">
        <v>61</v>
      </c>
      <c r="M25" s="314"/>
      <c r="N25" s="164">
        <f>Calculo!$G$64</f>
        <v>3889872</v>
      </c>
      <c r="O25" s="173"/>
      <c r="P25" s="310"/>
    </row>
    <row r="26" spans="1:16" x14ac:dyDescent="0.2">
      <c r="A26" s="312"/>
      <c r="B26" s="313"/>
      <c r="C26" s="314"/>
      <c r="D26" s="49"/>
      <c r="E26" s="314"/>
      <c r="G26" s="314">
        <v>9998</v>
      </c>
      <c r="H26" s="254">
        <v>1</v>
      </c>
      <c r="I26" s="309">
        <v>2</v>
      </c>
      <c r="J26" s="308"/>
      <c r="K26" s="320"/>
      <c r="L26" s="295" t="s">
        <v>100</v>
      </c>
      <c r="M26" s="314"/>
      <c r="N26" s="165">
        <f>+N27</f>
        <v>146384</v>
      </c>
      <c r="O26" s="173"/>
      <c r="P26" s="310"/>
    </row>
    <row r="27" spans="1:16" x14ac:dyDescent="0.2">
      <c r="A27" s="312"/>
      <c r="B27" s="313"/>
      <c r="C27" s="314"/>
      <c r="D27" s="49"/>
      <c r="E27" s="314"/>
      <c r="G27" s="314"/>
      <c r="I27" s="314"/>
      <c r="J27" s="308">
        <v>2</v>
      </c>
      <c r="K27" s="319"/>
      <c r="L27" s="254" t="s">
        <v>105</v>
      </c>
      <c r="M27" s="314"/>
      <c r="N27" s="165">
        <f>+N29</f>
        <v>146384</v>
      </c>
      <c r="O27" s="173"/>
      <c r="P27" s="310"/>
    </row>
    <row r="28" spans="1:16" hidden="1" x14ac:dyDescent="0.2">
      <c r="A28" s="312"/>
      <c r="B28" s="313"/>
      <c r="C28" s="314"/>
      <c r="D28" s="49"/>
      <c r="E28" s="314"/>
      <c r="G28" s="314"/>
      <c r="I28" s="50"/>
      <c r="J28" s="314" t="s">
        <v>106</v>
      </c>
      <c r="K28" s="319"/>
      <c r="L28" s="254" t="s">
        <v>107</v>
      </c>
      <c r="M28" s="314"/>
      <c r="N28" s="164">
        <f>Calculo!G72</f>
        <v>0</v>
      </c>
      <c r="O28" s="173"/>
      <c r="P28" s="310"/>
    </row>
    <row r="29" spans="1:16" x14ac:dyDescent="0.2">
      <c r="A29" s="312"/>
      <c r="B29" s="313"/>
      <c r="C29" s="314"/>
      <c r="D29" s="49"/>
      <c r="E29" s="314"/>
      <c r="G29" s="314"/>
      <c r="I29" s="50"/>
      <c r="J29" s="314"/>
      <c r="K29" s="319" t="s">
        <v>208</v>
      </c>
      <c r="L29" s="254" t="s">
        <v>108</v>
      </c>
      <c r="M29" s="314"/>
      <c r="N29" s="164">
        <f>Calculo!$G$73</f>
        <v>146384</v>
      </c>
      <c r="O29" s="173"/>
      <c r="P29" s="310"/>
    </row>
    <row r="30" spans="1:16" x14ac:dyDescent="0.2">
      <c r="A30" s="312"/>
      <c r="B30" s="313"/>
      <c r="C30" s="314"/>
      <c r="D30" s="49"/>
      <c r="E30" s="314"/>
      <c r="G30" s="314">
        <v>9998</v>
      </c>
      <c r="H30" s="254">
        <v>1</v>
      </c>
      <c r="I30" s="309">
        <v>4</v>
      </c>
      <c r="J30" s="317"/>
      <c r="K30" s="319"/>
      <c r="L30" s="308" t="s">
        <v>62</v>
      </c>
      <c r="M30" s="314"/>
      <c r="N30" s="165">
        <f>+N31</f>
        <v>246262</v>
      </c>
      <c r="O30" s="173"/>
      <c r="P30" s="310"/>
    </row>
    <row r="31" spans="1:16" x14ac:dyDescent="0.2">
      <c r="A31" s="312"/>
      <c r="B31" s="313"/>
      <c r="C31" s="314"/>
      <c r="D31" s="49"/>
      <c r="E31" s="314"/>
      <c r="G31" s="314"/>
      <c r="I31" s="309"/>
      <c r="J31" s="308">
        <v>2</v>
      </c>
      <c r="K31" s="318"/>
      <c r="L31" s="314" t="s">
        <v>63</v>
      </c>
      <c r="M31" s="314"/>
      <c r="N31" s="164">
        <f>+N32</f>
        <v>246262</v>
      </c>
      <c r="O31" s="173"/>
      <c r="P31" s="310"/>
    </row>
    <row r="32" spans="1:16" x14ac:dyDescent="0.2">
      <c r="A32" s="312"/>
      <c r="B32" s="313"/>
      <c r="C32" s="314"/>
      <c r="D32" s="49"/>
      <c r="E32" s="314"/>
      <c r="G32" s="314"/>
      <c r="I32" s="309"/>
      <c r="J32" s="317"/>
      <c r="K32" s="318" t="s">
        <v>198</v>
      </c>
      <c r="L32" s="314" t="s">
        <v>110</v>
      </c>
      <c r="M32" s="314"/>
      <c r="N32" s="164">
        <f>Calculo!$G$77</f>
        <v>246262</v>
      </c>
      <c r="O32" s="173"/>
      <c r="P32" s="310"/>
    </row>
    <row r="33" spans="1:18" x14ac:dyDescent="0.2">
      <c r="A33" s="312"/>
      <c r="B33" s="313"/>
      <c r="C33" s="314"/>
      <c r="D33" s="49"/>
      <c r="E33" s="314"/>
      <c r="G33" s="314">
        <v>9998</v>
      </c>
      <c r="H33" s="254">
        <v>1</v>
      </c>
      <c r="I33" s="309">
        <v>5</v>
      </c>
      <c r="J33" s="308"/>
      <c r="K33" s="321"/>
      <c r="L33" s="309" t="s">
        <v>64</v>
      </c>
      <c r="M33" s="309"/>
      <c r="N33" s="165">
        <f>ROUND(N34,0)</f>
        <v>647212</v>
      </c>
      <c r="O33" s="315">
        <f>+O34</f>
        <v>0</v>
      </c>
      <c r="P33" s="310"/>
      <c r="Q33" s="311"/>
    </row>
    <row r="34" spans="1:18" x14ac:dyDescent="0.2">
      <c r="A34" s="312"/>
      <c r="B34" s="313"/>
      <c r="C34" s="314"/>
      <c r="D34" s="49"/>
      <c r="E34" s="314"/>
      <c r="G34" s="314"/>
      <c r="I34" s="314"/>
      <c r="J34" s="317">
        <v>2</v>
      </c>
      <c r="K34" s="318"/>
      <c r="L34" s="314" t="s">
        <v>65</v>
      </c>
      <c r="M34" s="314"/>
      <c r="N34" s="164">
        <f>Calculo!$G$85</f>
        <v>647212</v>
      </c>
      <c r="O34" s="173"/>
      <c r="P34" s="310"/>
      <c r="Q34" s="311"/>
    </row>
    <row r="35" spans="1:18" x14ac:dyDescent="0.2">
      <c r="A35" s="312"/>
      <c r="B35" s="313"/>
      <c r="C35" s="314"/>
      <c r="D35" s="49"/>
      <c r="E35" s="314"/>
      <c r="G35" s="314">
        <v>9998</v>
      </c>
      <c r="H35" s="295">
        <v>2</v>
      </c>
      <c r="I35" s="309"/>
      <c r="J35" s="308"/>
      <c r="K35" s="321"/>
      <c r="L35" s="309" t="s">
        <v>66</v>
      </c>
      <c r="M35" s="309"/>
      <c r="N35" s="165">
        <f>+N36+N42+N44+N46+N48+N51+N54+N61</f>
        <v>3527593</v>
      </c>
      <c r="O35" s="315"/>
      <c r="P35" s="310"/>
      <c r="Q35" s="311"/>
      <c r="R35" s="310"/>
    </row>
    <row r="36" spans="1:18" x14ac:dyDescent="0.2">
      <c r="A36" s="312"/>
      <c r="B36" s="313"/>
      <c r="C36" s="314"/>
      <c r="D36" s="49"/>
      <c r="E36" s="314"/>
      <c r="G36" s="314"/>
      <c r="H36" s="254">
        <v>2</v>
      </c>
      <c r="I36" s="309">
        <v>1</v>
      </c>
      <c r="J36" s="308"/>
      <c r="K36" s="321"/>
      <c r="L36" s="309" t="s">
        <v>67</v>
      </c>
      <c r="M36" s="309"/>
      <c r="N36" s="165">
        <f>+N37+N39+N40+N41</f>
        <v>786752</v>
      </c>
      <c r="O36" s="315">
        <f>+O37</f>
        <v>0</v>
      </c>
      <c r="P36" s="310"/>
      <c r="Q36" s="310"/>
    </row>
    <row r="37" spans="1:18" x14ac:dyDescent="0.2">
      <c r="A37" s="312"/>
      <c r="B37" s="313"/>
      <c r="C37" s="314"/>
      <c r="D37" s="49"/>
      <c r="E37" s="314"/>
      <c r="G37" s="314"/>
      <c r="I37" s="314"/>
      <c r="J37" s="317">
        <v>3</v>
      </c>
      <c r="K37" s="318"/>
      <c r="L37" s="314" t="s">
        <v>68</v>
      </c>
      <c r="M37" s="314"/>
      <c r="N37" s="164">
        <f>Calculo!$G$92</f>
        <v>247910</v>
      </c>
      <c r="O37" s="173"/>
      <c r="P37" s="310"/>
    </row>
    <row r="38" spans="1:18" x14ac:dyDescent="0.2">
      <c r="A38" s="312"/>
      <c r="B38" s="313"/>
      <c r="C38" s="314"/>
      <c r="D38" s="49"/>
      <c r="E38" s="314"/>
      <c r="G38" s="314"/>
      <c r="I38" s="314"/>
      <c r="J38" s="308">
        <v>6</v>
      </c>
      <c r="K38" s="318"/>
      <c r="L38" s="314" t="s">
        <v>114</v>
      </c>
      <c r="M38" s="314"/>
      <c r="N38" s="165">
        <f>+N39</f>
        <v>519449</v>
      </c>
      <c r="O38" s="173"/>
      <c r="P38" s="310"/>
    </row>
    <row r="39" spans="1:18" x14ac:dyDescent="0.2">
      <c r="A39" s="312"/>
      <c r="B39" s="313"/>
      <c r="C39" s="314"/>
      <c r="D39" s="49"/>
      <c r="E39" s="314"/>
      <c r="G39" s="314"/>
      <c r="I39" s="314"/>
      <c r="J39" s="317"/>
      <c r="K39" s="318" t="s">
        <v>35</v>
      </c>
      <c r="L39" s="314" t="s">
        <v>133</v>
      </c>
      <c r="M39" s="314"/>
      <c r="N39" s="164">
        <f>Calculo!$G$95</f>
        <v>519449</v>
      </c>
      <c r="O39" s="173"/>
      <c r="P39" s="310"/>
    </row>
    <row r="40" spans="1:18" x14ac:dyDescent="0.2">
      <c r="A40" s="312"/>
      <c r="B40" s="313"/>
      <c r="C40" s="314"/>
      <c r="D40" s="49"/>
      <c r="E40" s="314"/>
      <c r="G40" s="314"/>
      <c r="I40" s="314"/>
      <c r="J40" s="317">
        <v>7</v>
      </c>
      <c r="K40" s="318"/>
      <c r="L40" s="314" t="s">
        <v>70</v>
      </c>
      <c r="M40" s="314"/>
      <c r="N40" s="164">
        <f>Calculo!$G$96</f>
        <v>12626</v>
      </c>
      <c r="O40" s="173"/>
      <c r="P40" s="310"/>
    </row>
    <row r="41" spans="1:18" x14ac:dyDescent="0.2">
      <c r="A41" s="312"/>
      <c r="B41" s="313"/>
      <c r="C41" s="314"/>
      <c r="D41" s="49"/>
      <c r="E41" s="314"/>
      <c r="G41" s="314"/>
      <c r="I41" s="314"/>
      <c r="J41" s="317">
        <v>8</v>
      </c>
      <c r="K41" s="318"/>
      <c r="L41" s="314" t="s">
        <v>218</v>
      </c>
      <c r="M41" s="314"/>
      <c r="N41" s="164">
        <f>Calculo!$G$97</f>
        <v>6767</v>
      </c>
      <c r="O41" s="173"/>
      <c r="P41" s="310"/>
    </row>
    <row r="42" spans="1:18" x14ac:dyDescent="0.2">
      <c r="A42" s="312"/>
      <c r="B42" s="313"/>
      <c r="C42" s="314"/>
      <c r="D42" s="49"/>
      <c r="E42" s="314"/>
      <c r="G42" s="314"/>
      <c r="H42" s="254">
        <v>2</v>
      </c>
      <c r="I42" s="309">
        <v>2</v>
      </c>
      <c r="J42" s="308"/>
      <c r="K42" s="321"/>
      <c r="L42" s="309" t="s">
        <v>72</v>
      </c>
      <c r="M42" s="309"/>
      <c r="N42" s="165">
        <f>+N43</f>
        <v>396417</v>
      </c>
      <c r="O42" s="315">
        <f>+O43</f>
        <v>0</v>
      </c>
      <c r="P42" s="310"/>
    </row>
    <row r="43" spans="1:18" x14ac:dyDescent="0.2">
      <c r="A43" s="312"/>
      <c r="B43" s="313"/>
      <c r="C43" s="314"/>
      <c r="D43" s="49"/>
      <c r="E43" s="314"/>
      <c r="G43" s="314"/>
      <c r="I43" s="314"/>
      <c r="J43" s="317">
        <v>1</v>
      </c>
      <c r="K43" s="318"/>
      <c r="L43" s="314" t="s">
        <v>73</v>
      </c>
      <c r="M43" s="314"/>
      <c r="N43" s="164">
        <f>Calculo!$G$100</f>
        <v>396417</v>
      </c>
      <c r="O43" s="173"/>
      <c r="P43" s="310"/>
    </row>
    <row r="44" spans="1:18" x14ac:dyDescent="0.2">
      <c r="A44" s="312"/>
      <c r="B44" s="313"/>
      <c r="C44" s="314"/>
      <c r="D44" s="49"/>
      <c r="E44" s="314"/>
      <c r="G44" s="314"/>
      <c r="H44" s="254">
        <v>2</v>
      </c>
      <c r="I44" s="309">
        <v>3</v>
      </c>
      <c r="J44" s="308"/>
      <c r="K44" s="321"/>
      <c r="L44" s="309" t="s">
        <v>74</v>
      </c>
      <c r="M44" s="309"/>
      <c r="N44" s="165">
        <f>+N45</f>
        <v>237741</v>
      </c>
      <c r="O44" s="315">
        <f>+O45</f>
        <v>0</v>
      </c>
      <c r="P44" s="310"/>
    </row>
    <row r="45" spans="1:18" x14ac:dyDescent="0.2">
      <c r="A45" s="312"/>
      <c r="B45" s="313"/>
      <c r="C45" s="314"/>
      <c r="D45" s="49"/>
      <c r="E45" s="314"/>
      <c r="G45" s="314"/>
      <c r="I45" s="314"/>
      <c r="J45" s="317">
        <v>1</v>
      </c>
      <c r="K45" s="318"/>
      <c r="L45" s="314" t="s">
        <v>219</v>
      </c>
      <c r="M45" s="314"/>
      <c r="N45" s="164">
        <f>Calculo!$G$105</f>
        <v>237741</v>
      </c>
      <c r="O45" s="173"/>
      <c r="P45" s="310"/>
    </row>
    <row r="46" spans="1:18" x14ac:dyDescent="0.2">
      <c r="A46" s="312"/>
      <c r="B46" s="313"/>
      <c r="C46" s="314"/>
      <c r="D46" s="49"/>
      <c r="E46" s="314"/>
      <c r="G46" s="314"/>
      <c r="H46" s="254">
        <v>2</v>
      </c>
      <c r="I46" s="309">
        <v>4</v>
      </c>
      <c r="J46" s="308"/>
      <c r="K46" s="321"/>
      <c r="L46" s="309" t="s">
        <v>134</v>
      </c>
      <c r="M46" s="309"/>
      <c r="N46" s="165">
        <f>+N47</f>
        <v>57702</v>
      </c>
      <c r="O46" s="315">
        <f>+O47</f>
        <v>0</v>
      </c>
      <c r="P46" s="310"/>
    </row>
    <row r="47" spans="1:18" x14ac:dyDescent="0.2">
      <c r="A47" s="312"/>
      <c r="B47" s="313"/>
      <c r="C47" s="314"/>
      <c r="D47" s="49"/>
      <c r="E47" s="314"/>
      <c r="G47" s="314"/>
      <c r="I47" s="314"/>
      <c r="J47" s="317">
        <v>1</v>
      </c>
      <c r="K47" s="318"/>
      <c r="L47" s="314" t="s">
        <v>77</v>
      </c>
      <c r="M47" s="314"/>
      <c r="N47" s="164">
        <f>Calculo!$G$109</f>
        <v>57702</v>
      </c>
      <c r="O47" s="173"/>
      <c r="P47" s="310"/>
    </row>
    <row r="48" spans="1:18" ht="14.25" x14ac:dyDescent="0.2">
      <c r="A48" s="312"/>
      <c r="B48" s="313"/>
      <c r="C48" s="314"/>
      <c r="D48" s="49"/>
      <c r="E48" s="314"/>
      <c r="G48" s="314"/>
      <c r="H48" s="254">
        <v>2</v>
      </c>
      <c r="I48" s="224">
        <v>5</v>
      </c>
      <c r="J48" s="275"/>
      <c r="K48" s="225"/>
      <c r="L48" s="222" t="s">
        <v>117</v>
      </c>
      <c r="M48" s="172"/>
      <c r="N48" s="165">
        <f>+N50</f>
        <v>63328</v>
      </c>
      <c r="O48" s="315">
        <f>+O49</f>
        <v>0</v>
      </c>
      <c r="P48" s="310"/>
    </row>
    <row r="49" spans="1:17" ht="15" hidden="1" x14ac:dyDescent="0.25">
      <c r="A49" s="312"/>
      <c r="B49" s="313"/>
      <c r="C49" s="314"/>
      <c r="D49" s="49"/>
      <c r="E49" s="314"/>
      <c r="G49" s="314"/>
      <c r="I49" s="216"/>
      <c r="J49" s="274">
        <v>251</v>
      </c>
      <c r="K49" s="220"/>
      <c r="L49" s="158" t="s">
        <v>78</v>
      </c>
      <c r="M49" s="166"/>
      <c r="N49" s="164">
        <f>Calculo!G115</f>
        <v>0</v>
      </c>
      <c r="O49" s="173"/>
      <c r="P49" s="310"/>
    </row>
    <row r="50" spans="1:17" ht="15" x14ac:dyDescent="0.25">
      <c r="A50" s="312"/>
      <c r="B50" s="313"/>
      <c r="C50" s="314"/>
      <c r="D50" s="49"/>
      <c r="E50" s="314"/>
      <c r="G50" s="314"/>
      <c r="I50" s="216"/>
      <c r="J50" s="317">
        <v>4</v>
      </c>
      <c r="K50" s="319"/>
      <c r="L50" s="254" t="s">
        <v>101</v>
      </c>
      <c r="M50" s="166"/>
      <c r="N50" s="164">
        <f>Calculo!$G$119</f>
        <v>63328</v>
      </c>
      <c r="O50" s="315">
        <f>+O52+O53</f>
        <v>0</v>
      </c>
      <c r="P50" s="310"/>
    </row>
    <row r="51" spans="1:17" ht="15" x14ac:dyDescent="0.25">
      <c r="A51" s="312"/>
      <c r="B51" s="313"/>
      <c r="C51" s="314"/>
      <c r="D51" s="49"/>
      <c r="E51" s="314"/>
      <c r="G51" s="314"/>
      <c r="H51" s="254">
        <v>2</v>
      </c>
      <c r="I51" s="224">
        <v>6</v>
      </c>
      <c r="J51" s="317"/>
      <c r="K51" s="318"/>
      <c r="L51" s="295" t="s">
        <v>162</v>
      </c>
      <c r="M51" s="166"/>
      <c r="N51" s="165">
        <f>+N52+N53</f>
        <v>1608525</v>
      </c>
      <c r="O51" s="315"/>
      <c r="P51" s="310"/>
    </row>
    <row r="52" spans="1:17" x14ac:dyDescent="0.2">
      <c r="A52" s="312"/>
      <c r="B52" s="313"/>
      <c r="C52" s="314"/>
      <c r="D52" s="49"/>
      <c r="E52" s="314"/>
      <c r="G52" s="314"/>
      <c r="I52" s="314"/>
      <c r="J52" s="317">
        <v>2</v>
      </c>
      <c r="K52" s="318"/>
      <c r="L52" s="314" t="s">
        <v>135</v>
      </c>
      <c r="M52" s="314"/>
      <c r="N52" s="164">
        <f>Calculo!$G$127</f>
        <v>99264</v>
      </c>
      <c r="O52" s="173"/>
      <c r="P52" s="310"/>
    </row>
    <row r="53" spans="1:17" x14ac:dyDescent="0.2">
      <c r="A53" s="312"/>
      <c r="B53" s="313"/>
      <c r="C53" s="314"/>
      <c r="D53" s="49"/>
      <c r="E53" s="314"/>
      <c r="G53" s="314"/>
      <c r="I53" s="314"/>
      <c r="J53" s="317">
        <v>3</v>
      </c>
      <c r="K53" s="318"/>
      <c r="L53" s="314" t="s">
        <v>118</v>
      </c>
      <c r="M53" s="314"/>
      <c r="N53" s="164">
        <f>Calculo!$G$133</f>
        <v>1509261</v>
      </c>
      <c r="O53" s="173"/>
      <c r="P53" s="310"/>
    </row>
    <row r="54" spans="1:17" ht="25.5" x14ac:dyDescent="0.2">
      <c r="A54" s="312"/>
      <c r="B54" s="313"/>
      <c r="C54" s="314"/>
      <c r="D54" s="49"/>
      <c r="E54" s="314"/>
      <c r="G54" s="314"/>
      <c r="H54" s="254">
        <v>2</v>
      </c>
      <c r="I54" s="309">
        <v>7</v>
      </c>
      <c r="J54" s="308"/>
      <c r="K54" s="321"/>
      <c r="L54" s="322" t="s">
        <v>80</v>
      </c>
      <c r="M54" s="309"/>
      <c r="N54" s="165">
        <f>+N55+N57</f>
        <v>129729</v>
      </c>
      <c r="O54" s="315">
        <f>+O55+O57</f>
        <v>0</v>
      </c>
      <c r="P54" s="310"/>
    </row>
    <row r="55" spans="1:17" s="327" customFormat="1" x14ac:dyDescent="0.2">
      <c r="A55" s="323"/>
      <c r="B55" s="324"/>
      <c r="C55" s="325"/>
      <c r="D55" s="326"/>
      <c r="E55" s="325"/>
      <c r="G55" s="325"/>
      <c r="I55" s="325"/>
      <c r="J55" s="328">
        <v>1</v>
      </c>
      <c r="K55" s="329"/>
      <c r="L55" s="325" t="s">
        <v>81</v>
      </c>
      <c r="M55" s="325"/>
      <c r="N55" s="289">
        <f>+N56</f>
        <v>-27747</v>
      </c>
      <c r="O55" s="330"/>
      <c r="P55" s="331"/>
    </row>
    <row r="56" spans="1:17" x14ac:dyDescent="0.2">
      <c r="A56" s="312"/>
      <c r="B56" s="313"/>
      <c r="C56" s="314"/>
      <c r="D56" s="49"/>
      <c r="E56" s="314"/>
      <c r="G56" s="314"/>
      <c r="I56" s="314"/>
      <c r="J56" s="317"/>
      <c r="K56" s="318" t="s">
        <v>37</v>
      </c>
      <c r="L56" s="314" t="s">
        <v>136</v>
      </c>
      <c r="M56" s="314"/>
      <c r="N56" s="164">
        <f>Calculo!$G$140</f>
        <v>-27747</v>
      </c>
      <c r="O56" s="173"/>
      <c r="P56" s="310"/>
    </row>
    <row r="57" spans="1:17" x14ac:dyDescent="0.2">
      <c r="A57" s="312"/>
      <c r="B57" s="313"/>
      <c r="C57" s="314"/>
      <c r="D57" s="49"/>
      <c r="E57" s="314"/>
      <c r="G57" s="314"/>
      <c r="I57" s="314"/>
      <c r="J57" s="308">
        <v>2</v>
      </c>
      <c r="K57" s="318"/>
      <c r="L57" s="314" t="s">
        <v>82</v>
      </c>
      <c r="M57" s="314"/>
      <c r="N57" s="165">
        <f>+N58+N59+N60</f>
        <v>157476</v>
      </c>
      <c r="O57" s="173"/>
      <c r="P57" s="310"/>
    </row>
    <row r="58" spans="1:17" x14ac:dyDescent="0.2">
      <c r="A58" s="312"/>
      <c r="B58" s="313"/>
      <c r="C58" s="314"/>
      <c r="D58" s="49"/>
      <c r="E58" s="314"/>
      <c r="G58" s="314"/>
      <c r="I58" s="314"/>
      <c r="J58" s="317"/>
      <c r="K58" s="318" t="s">
        <v>35</v>
      </c>
      <c r="L58" s="314" t="s">
        <v>137</v>
      </c>
      <c r="M58" s="314"/>
      <c r="N58" s="164">
        <f>Calculo!$G$146+Calculo!$G$147</f>
        <v>69152</v>
      </c>
      <c r="O58" s="173"/>
      <c r="P58" s="310"/>
      <c r="Q58" s="310"/>
    </row>
    <row r="59" spans="1:17" x14ac:dyDescent="0.2">
      <c r="A59" s="312"/>
      <c r="B59" s="313"/>
      <c r="C59" s="314"/>
      <c r="D59" s="49"/>
      <c r="E59" s="314"/>
      <c r="G59" s="314"/>
      <c r="I59" s="314"/>
      <c r="J59" s="317"/>
      <c r="K59" s="318" t="s">
        <v>209</v>
      </c>
      <c r="L59" s="314" t="s">
        <v>138</v>
      </c>
      <c r="M59" s="314"/>
      <c r="N59" s="164">
        <f>Calculo!$G$148+Calculo!$G$149+Calculo!$G$150</f>
        <v>65122</v>
      </c>
      <c r="O59" s="173"/>
      <c r="P59" s="310"/>
    </row>
    <row r="60" spans="1:17" ht="15" x14ac:dyDescent="0.25">
      <c r="A60" s="312"/>
      <c r="B60" s="313"/>
      <c r="C60" s="314"/>
      <c r="D60" s="49"/>
      <c r="E60" s="314"/>
      <c r="G60" s="314"/>
      <c r="I60" s="314"/>
      <c r="J60" s="308">
        <v>3</v>
      </c>
      <c r="K60" s="318" t="s">
        <v>35</v>
      </c>
      <c r="L60" s="158" t="s">
        <v>120</v>
      </c>
      <c r="M60" s="314"/>
      <c r="N60" s="164">
        <f>Calculo!$G$155</f>
        <v>23202</v>
      </c>
      <c r="O60" s="173"/>
      <c r="P60" s="310"/>
    </row>
    <row r="61" spans="1:17" x14ac:dyDescent="0.2">
      <c r="A61" s="312"/>
      <c r="B61" s="313"/>
      <c r="C61" s="314"/>
      <c r="D61" s="49"/>
      <c r="E61" s="314"/>
      <c r="G61" s="314"/>
      <c r="H61" s="254">
        <v>2</v>
      </c>
      <c r="I61" s="309">
        <v>8</v>
      </c>
      <c r="J61" s="317"/>
      <c r="K61" s="318"/>
      <c r="L61" s="309" t="s">
        <v>83</v>
      </c>
      <c r="M61" s="314"/>
      <c r="N61" s="165">
        <f>+N62+N63</f>
        <v>247399</v>
      </c>
      <c r="O61" s="173"/>
      <c r="P61" s="310"/>
    </row>
    <row r="62" spans="1:17" ht="15" x14ac:dyDescent="0.25">
      <c r="A62" s="312"/>
      <c r="B62" s="313"/>
      <c r="C62" s="314"/>
      <c r="D62" s="49"/>
      <c r="E62" s="314"/>
      <c r="G62" s="314"/>
      <c r="I62" s="309"/>
      <c r="J62" s="317">
        <v>4</v>
      </c>
      <c r="K62" s="318"/>
      <c r="L62" s="158" t="s">
        <v>102</v>
      </c>
      <c r="M62" s="314"/>
      <c r="N62" s="164">
        <f>+Calculo!G161</f>
        <v>2405</v>
      </c>
      <c r="O62" s="173"/>
      <c r="P62" s="310"/>
    </row>
    <row r="63" spans="1:17" x14ac:dyDescent="0.2">
      <c r="A63" s="312"/>
      <c r="B63" s="313"/>
      <c r="C63" s="314"/>
      <c r="D63" s="49"/>
      <c r="E63" s="314"/>
      <c r="G63" s="314"/>
      <c r="I63" s="314"/>
      <c r="J63" s="308">
        <v>9</v>
      </c>
      <c r="K63" s="318"/>
      <c r="L63" s="314" t="s">
        <v>125</v>
      </c>
      <c r="M63" s="314"/>
      <c r="N63" s="165">
        <f>+N64</f>
        <v>244994</v>
      </c>
      <c r="O63" s="173"/>
      <c r="P63" s="310"/>
    </row>
    <row r="64" spans="1:17" x14ac:dyDescent="0.2">
      <c r="A64" s="312"/>
      <c r="B64" s="313"/>
      <c r="C64" s="314"/>
      <c r="D64" s="49"/>
      <c r="E64" s="314"/>
      <c r="G64" s="314"/>
      <c r="H64" s="295"/>
      <c r="I64" s="309"/>
      <c r="J64" s="317"/>
      <c r="K64" s="318" t="s">
        <v>199</v>
      </c>
      <c r="L64" s="314" t="s">
        <v>126</v>
      </c>
      <c r="M64" s="314"/>
      <c r="N64" s="164">
        <f>Calculo!$G$175+Calculo!G226</f>
        <v>244994</v>
      </c>
      <c r="O64" s="173"/>
      <c r="P64" s="310"/>
    </row>
    <row r="65" spans="1:16" x14ac:dyDescent="0.2">
      <c r="A65" s="312"/>
      <c r="B65" s="313"/>
      <c r="C65" s="314"/>
      <c r="D65" s="49"/>
      <c r="E65" s="314"/>
      <c r="G65" s="314"/>
      <c r="H65" s="295"/>
      <c r="I65" s="309"/>
      <c r="J65" s="317"/>
      <c r="K65" s="318"/>
      <c r="L65" s="314"/>
      <c r="M65" s="314"/>
      <c r="N65" s="164"/>
      <c r="O65" s="173"/>
      <c r="P65" s="310"/>
    </row>
    <row r="66" spans="1:16" x14ac:dyDescent="0.2">
      <c r="A66" s="312"/>
      <c r="B66" s="313"/>
      <c r="C66" s="314"/>
      <c r="D66" s="49"/>
      <c r="E66" s="314"/>
      <c r="G66" s="314"/>
      <c r="I66" s="314"/>
      <c r="J66" s="317"/>
      <c r="K66" s="318"/>
      <c r="L66" s="314"/>
      <c r="M66" s="314"/>
      <c r="N66" s="164"/>
      <c r="O66" s="173"/>
      <c r="P66" s="310"/>
    </row>
    <row r="67" spans="1:16" x14ac:dyDescent="0.2">
      <c r="A67" s="312"/>
      <c r="B67" s="313"/>
      <c r="C67" s="314"/>
      <c r="D67" s="49"/>
      <c r="E67" s="314"/>
      <c r="G67" s="314"/>
      <c r="I67" s="314"/>
      <c r="J67" s="317"/>
      <c r="K67" s="318"/>
      <c r="L67" s="314"/>
      <c r="M67" s="314"/>
      <c r="N67" s="164"/>
      <c r="O67" s="173"/>
      <c r="P67" s="310"/>
    </row>
    <row r="68" spans="1:16" x14ac:dyDescent="0.2">
      <c r="A68" s="312"/>
      <c r="B68" s="313"/>
      <c r="C68" s="314"/>
      <c r="D68" s="49"/>
      <c r="E68" s="314"/>
      <c r="G68" s="314"/>
      <c r="I68" s="309"/>
      <c r="J68" s="317"/>
      <c r="K68" s="318"/>
      <c r="L68" s="314"/>
      <c r="M68" s="314"/>
      <c r="N68" s="164"/>
      <c r="O68" s="315"/>
      <c r="P68" s="310"/>
    </row>
    <row r="69" spans="1:16" x14ac:dyDescent="0.2">
      <c r="A69" s="312"/>
      <c r="B69" s="313"/>
      <c r="C69" s="314"/>
      <c r="D69" s="49"/>
      <c r="E69" s="314"/>
      <c r="G69" s="314"/>
      <c r="I69" s="314"/>
      <c r="J69" s="317"/>
      <c r="K69" s="318"/>
      <c r="L69" s="314"/>
      <c r="M69" s="314"/>
      <c r="N69" s="164"/>
      <c r="O69" s="173"/>
      <c r="P69" s="310"/>
    </row>
    <row r="70" spans="1:16" x14ac:dyDescent="0.2">
      <c r="A70" s="312"/>
      <c r="B70" s="313"/>
      <c r="C70" s="314"/>
      <c r="D70" s="49"/>
      <c r="E70" s="314"/>
      <c r="G70" s="314"/>
      <c r="I70" s="314"/>
      <c r="J70" s="317"/>
      <c r="K70" s="318"/>
      <c r="L70" s="314"/>
      <c r="M70" s="314"/>
      <c r="N70" s="164"/>
      <c r="O70" s="173"/>
      <c r="P70" s="310"/>
    </row>
    <row r="71" spans="1:16" x14ac:dyDescent="0.2">
      <c r="A71" s="312"/>
      <c r="B71" s="313"/>
      <c r="C71" s="314"/>
      <c r="D71" s="49"/>
      <c r="E71" s="314"/>
      <c r="G71" s="314"/>
      <c r="I71" s="314"/>
      <c r="J71" s="317"/>
      <c r="K71" s="318"/>
      <c r="L71" s="314"/>
      <c r="M71" s="314"/>
      <c r="N71" s="164"/>
      <c r="O71" s="173"/>
      <c r="P71" s="310"/>
    </row>
    <row r="72" spans="1:16" x14ac:dyDescent="0.2">
      <c r="A72" s="312"/>
      <c r="B72" s="313"/>
      <c r="C72" s="314"/>
      <c r="D72" s="49"/>
      <c r="E72" s="314"/>
      <c r="G72" s="314"/>
      <c r="H72" s="295"/>
      <c r="I72" s="309"/>
      <c r="J72" s="308"/>
      <c r="K72" s="321"/>
      <c r="L72" s="309"/>
      <c r="M72" s="309"/>
      <c r="N72" s="165"/>
      <c r="O72" s="315"/>
      <c r="P72" s="310"/>
    </row>
    <row r="73" spans="1:16" x14ac:dyDescent="0.2">
      <c r="A73" s="312"/>
      <c r="B73" s="313"/>
      <c r="C73" s="314"/>
      <c r="D73" s="49"/>
      <c r="E73" s="314"/>
      <c r="G73" s="314"/>
      <c r="H73" s="295"/>
      <c r="I73" s="309"/>
      <c r="J73" s="308"/>
      <c r="K73" s="321"/>
      <c r="L73" s="309"/>
      <c r="M73" s="309"/>
      <c r="N73" s="165"/>
      <c r="O73" s="315"/>
      <c r="P73" s="310"/>
    </row>
    <row r="74" spans="1:16" ht="13.5" thickBot="1" x14ac:dyDescent="0.25">
      <c r="A74" s="332"/>
      <c r="B74" s="333"/>
      <c r="C74" s="334"/>
      <c r="D74" s="335"/>
      <c r="E74" s="334"/>
      <c r="F74" s="284"/>
      <c r="G74" s="334"/>
      <c r="H74" s="284"/>
      <c r="I74" s="334"/>
      <c r="J74" s="336"/>
      <c r="K74" s="337"/>
      <c r="L74" s="334"/>
      <c r="M74" s="334"/>
      <c r="N74" s="290"/>
      <c r="O74" s="430"/>
      <c r="P74" s="310"/>
    </row>
    <row r="75" spans="1:16" x14ac:dyDescent="0.2">
      <c r="A75" s="49"/>
      <c r="B75" s="49"/>
      <c r="D75" s="49"/>
      <c r="N75" s="201"/>
      <c r="O75" s="201"/>
      <c r="P75" s="310"/>
    </row>
    <row r="76" spans="1:16" x14ac:dyDescent="0.2">
      <c r="A76" s="49"/>
      <c r="B76" s="49"/>
      <c r="D76" s="49"/>
      <c r="N76" s="201"/>
      <c r="O76" s="201"/>
      <c r="P76" s="310"/>
    </row>
    <row r="77" spans="1:16" x14ac:dyDescent="0.2">
      <c r="A77" s="49"/>
      <c r="B77" s="49"/>
      <c r="D77" s="49"/>
      <c r="N77" s="201"/>
      <c r="O77" s="201"/>
      <c r="P77" s="310"/>
    </row>
    <row r="78" spans="1:16" ht="15.75" thickBot="1" x14ac:dyDescent="0.3">
      <c r="A78" s="217"/>
      <c r="B78" s="217"/>
      <c r="C78" s="158"/>
      <c r="D78" s="217"/>
      <c r="E78" s="158"/>
      <c r="F78" s="158"/>
      <c r="G78" s="158"/>
      <c r="H78" s="158"/>
      <c r="I78" s="158"/>
      <c r="J78" s="158"/>
      <c r="K78" s="158"/>
      <c r="L78" s="158"/>
      <c r="M78" s="158"/>
      <c r="N78" s="159"/>
      <c r="O78" s="159"/>
      <c r="P78" s="156"/>
    </row>
    <row r="79" spans="1:16" ht="14.25" x14ac:dyDescent="0.2">
      <c r="A79" s="746" t="s">
        <v>190</v>
      </c>
      <c r="B79" s="747"/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  <c r="N79" s="747"/>
      <c r="O79" s="748"/>
      <c r="P79" s="157"/>
    </row>
    <row r="80" spans="1:16" ht="15" x14ac:dyDescent="0.25">
      <c r="A80" s="761" t="s">
        <v>33</v>
      </c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3"/>
      <c r="P80" s="156"/>
    </row>
    <row r="81" spans="1:16" ht="15.75" x14ac:dyDescent="0.3">
      <c r="A81" s="230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792" t="s">
        <v>157</v>
      </c>
      <c r="N81" s="792"/>
      <c r="O81" s="793"/>
      <c r="P81" s="156"/>
    </row>
    <row r="82" spans="1:16" ht="15" x14ac:dyDescent="0.25">
      <c r="A82" s="230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232"/>
      <c r="P82" s="156"/>
    </row>
    <row r="83" spans="1:16" ht="15" x14ac:dyDescent="0.25">
      <c r="A83" s="794" t="s">
        <v>564</v>
      </c>
      <c r="B83" s="795"/>
      <c r="C83" s="795"/>
      <c r="D83" s="795"/>
      <c r="E83" s="795"/>
      <c r="F83" s="795"/>
      <c r="G83" s="795"/>
      <c r="H83" s="795"/>
      <c r="I83" s="158"/>
      <c r="J83" s="158"/>
      <c r="K83" s="158"/>
      <c r="L83" s="158"/>
      <c r="M83" s="295" t="s">
        <v>227</v>
      </c>
      <c r="O83" s="232"/>
      <c r="P83" s="156"/>
    </row>
    <row r="84" spans="1:16" ht="15" x14ac:dyDescent="0.25">
      <c r="A84" s="794" t="s">
        <v>565</v>
      </c>
      <c r="B84" s="795"/>
      <c r="C84" s="795"/>
      <c r="D84" s="795"/>
      <c r="E84" s="795"/>
      <c r="F84" s="795"/>
      <c r="G84" s="795"/>
      <c r="H84" s="795"/>
      <c r="I84" s="158"/>
      <c r="J84" s="158"/>
      <c r="K84" s="158"/>
      <c r="L84" s="158"/>
      <c r="M84" s="295" t="s">
        <v>1</v>
      </c>
      <c r="O84" s="232"/>
      <c r="P84" s="156"/>
    </row>
    <row r="85" spans="1:16" ht="15" x14ac:dyDescent="0.25">
      <c r="A85" s="794" t="str">
        <f>+A8</f>
        <v>MES: DICIEMBRE</v>
      </c>
      <c r="B85" s="795"/>
      <c r="C85" s="795"/>
      <c r="D85" s="795"/>
      <c r="E85" s="795"/>
      <c r="F85" s="795"/>
      <c r="G85" s="795"/>
      <c r="H85" s="795"/>
      <c r="I85" s="158"/>
      <c r="J85" s="158"/>
      <c r="K85" s="158"/>
      <c r="L85" s="158"/>
      <c r="M85" s="295" t="s">
        <v>2</v>
      </c>
      <c r="O85" s="232"/>
      <c r="P85" s="156"/>
    </row>
    <row r="86" spans="1:16" ht="15.75" thickBot="1" x14ac:dyDescent="0.3">
      <c r="A86" s="296" t="str">
        <f>Hoja1!B9</f>
        <v>AÑO : 2022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 t="s">
        <v>3</v>
      </c>
      <c r="N86" s="297"/>
      <c r="O86" s="537"/>
      <c r="P86" s="156"/>
    </row>
    <row r="87" spans="1:16" ht="15.75" thickBot="1" x14ac:dyDescent="0.3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6"/>
    </row>
    <row r="88" spans="1:16" ht="15" x14ac:dyDescent="0.25">
      <c r="A88" s="773" t="s">
        <v>28</v>
      </c>
      <c r="B88" s="774"/>
      <c r="C88" s="774"/>
      <c r="D88" s="774"/>
      <c r="E88" s="774"/>
      <c r="F88" s="774"/>
      <c r="G88" s="774"/>
      <c r="H88" s="774"/>
      <c r="I88" s="774"/>
      <c r="J88" s="774"/>
      <c r="K88" s="774"/>
      <c r="L88" s="775"/>
      <c r="M88" s="786" t="s">
        <v>32</v>
      </c>
      <c r="N88" s="774"/>
      <c r="O88" s="787"/>
      <c r="P88" s="156"/>
    </row>
    <row r="89" spans="1:16" ht="15" x14ac:dyDescent="0.25">
      <c r="A89" s="788" t="s">
        <v>9</v>
      </c>
      <c r="B89" s="789"/>
      <c r="C89" s="789"/>
      <c r="D89" s="789"/>
      <c r="E89" s="789"/>
      <c r="F89" s="789"/>
      <c r="G89" s="790"/>
      <c r="H89" s="776" t="s">
        <v>27</v>
      </c>
      <c r="I89" s="777"/>
      <c r="J89" s="777"/>
      <c r="K89" s="777"/>
      <c r="L89" s="778"/>
      <c r="M89" s="441" t="s">
        <v>29</v>
      </c>
      <c r="N89" s="442" t="s">
        <v>30</v>
      </c>
      <c r="O89" s="443" t="s">
        <v>31</v>
      </c>
      <c r="P89" s="156"/>
    </row>
    <row r="90" spans="1:16" ht="15" x14ac:dyDescent="0.25">
      <c r="A90" s="236"/>
      <c r="B90" s="543" t="s">
        <v>19</v>
      </c>
      <c r="C90" s="551"/>
      <c r="D90" s="543"/>
      <c r="E90" s="551"/>
      <c r="F90" s="543"/>
      <c r="G90" s="551"/>
      <c r="H90" s="544"/>
      <c r="I90" s="544"/>
      <c r="J90" s="544"/>
      <c r="K90" s="544"/>
      <c r="L90" s="760"/>
      <c r="M90" s="237"/>
      <c r="N90" s="238"/>
      <c r="O90" s="239"/>
      <c r="P90" s="156"/>
    </row>
    <row r="91" spans="1:16" ht="15.75" thickBot="1" x14ac:dyDescent="0.3">
      <c r="A91" s="338" t="s">
        <v>18</v>
      </c>
      <c r="B91" s="339" t="s">
        <v>18</v>
      </c>
      <c r="C91" s="340" t="s">
        <v>20</v>
      </c>
      <c r="D91" s="339" t="s">
        <v>21</v>
      </c>
      <c r="E91" s="340" t="s">
        <v>22</v>
      </c>
      <c r="F91" s="339" t="s">
        <v>23</v>
      </c>
      <c r="G91" s="340" t="s">
        <v>24</v>
      </c>
      <c r="H91" s="339" t="s">
        <v>25</v>
      </c>
      <c r="I91" s="339" t="s">
        <v>4</v>
      </c>
      <c r="J91" s="339" t="s">
        <v>26</v>
      </c>
      <c r="K91" s="339" t="s">
        <v>155</v>
      </c>
      <c r="L91" s="791"/>
      <c r="M91" s="245" t="s">
        <v>11</v>
      </c>
      <c r="N91" s="245" t="s">
        <v>12</v>
      </c>
      <c r="O91" s="444" t="s">
        <v>13</v>
      </c>
      <c r="P91" s="156"/>
    </row>
    <row r="92" spans="1:16" ht="15" x14ac:dyDescent="0.25">
      <c r="A92" s="247" t="s">
        <v>35</v>
      </c>
      <c r="B92" s="248" t="s">
        <v>36</v>
      </c>
      <c r="C92" s="249"/>
      <c r="D92" s="250" t="s">
        <v>37</v>
      </c>
      <c r="E92" s="249"/>
      <c r="F92" s="251" t="s">
        <v>179</v>
      </c>
      <c r="G92" s="341">
        <v>9998</v>
      </c>
      <c r="H92" s="251">
        <v>3</v>
      </c>
      <c r="I92" s="249"/>
      <c r="J92" s="272"/>
      <c r="K92" s="342"/>
      <c r="L92" s="224" t="s">
        <v>87</v>
      </c>
      <c r="M92" s="224"/>
      <c r="N92" s="273">
        <f>+N93+N95+N97+N99+N102</f>
        <v>1489896</v>
      </c>
      <c r="O92" s="66">
        <f>+O93+O95+O97+O99+O102</f>
        <v>0</v>
      </c>
      <c r="P92" s="156"/>
    </row>
    <row r="93" spans="1:16" ht="15" hidden="1" x14ac:dyDescent="0.25">
      <c r="A93" s="214"/>
      <c r="B93" s="215"/>
      <c r="C93" s="216"/>
      <c r="D93" s="217"/>
      <c r="E93" s="216"/>
      <c r="F93" s="158"/>
      <c r="G93" s="216"/>
      <c r="H93" s="158"/>
      <c r="I93" s="224">
        <v>32</v>
      </c>
      <c r="J93" s="275"/>
      <c r="K93" s="343"/>
      <c r="L93" s="222" t="s">
        <v>183</v>
      </c>
      <c r="M93" s="224"/>
      <c r="N93" s="172">
        <f>+N94</f>
        <v>0</v>
      </c>
      <c r="O93" s="66"/>
      <c r="P93" s="156"/>
    </row>
    <row r="94" spans="1:16" ht="15" hidden="1" x14ac:dyDescent="0.25">
      <c r="A94" s="214"/>
      <c r="B94" s="215"/>
      <c r="C94" s="216"/>
      <c r="D94" s="217"/>
      <c r="E94" s="216"/>
      <c r="F94" s="158"/>
      <c r="G94" s="216"/>
      <c r="H94" s="158"/>
      <c r="I94" s="224"/>
      <c r="J94" s="274">
        <v>323</v>
      </c>
      <c r="K94" s="217"/>
      <c r="L94" s="158" t="s">
        <v>181</v>
      </c>
      <c r="M94" s="216"/>
      <c r="N94" s="166">
        <f>Calculo!G188</f>
        <v>0</v>
      </c>
      <c r="O94" s="168"/>
      <c r="P94" s="156"/>
    </row>
    <row r="95" spans="1:16" ht="15" x14ac:dyDescent="0.25">
      <c r="A95" s="214"/>
      <c r="B95" s="215"/>
      <c r="C95" s="216"/>
      <c r="D95" s="217"/>
      <c r="E95" s="216"/>
      <c r="F95" s="158"/>
      <c r="G95" s="216"/>
      <c r="H95" s="222">
        <v>3</v>
      </c>
      <c r="I95" s="224">
        <v>3</v>
      </c>
      <c r="J95" s="275"/>
      <c r="K95" s="342"/>
      <c r="L95" s="224" t="s">
        <v>88</v>
      </c>
      <c r="M95" s="224"/>
      <c r="N95" s="172">
        <f>+N96</f>
        <v>281732</v>
      </c>
      <c r="O95" s="66">
        <f>+O96</f>
        <v>0</v>
      </c>
      <c r="P95" s="156"/>
    </row>
    <row r="96" spans="1:16" ht="15" x14ac:dyDescent="0.25">
      <c r="A96" s="214"/>
      <c r="B96" s="215"/>
      <c r="C96" s="216"/>
      <c r="D96" s="217"/>
      <c r="E96" s="216"/>
      <c r="F96" s="158"/>
      <c r="G96" s="216"/>
      <c r="H96" s="222"/>
      <c r="I96" s="216"/>
      <c r="J96" s="274">
        <v>1</v>
      </c>
      <c r="K96" s="344"/>
      <c r="L96" s="216" t="s">
        <v>89</v>
      </c>
      <c r="M96" s="216"/>
      <c r="N96" s="166">
        <f>Calculo!$G$191</f>
        <v>281732</v>
      </c>
      <c r="O96" s="168"/>
      <c r="P96" s="156"/>
    </row>
    <row r="97" spans="1:16" ht="15" x14ac:dyDescent="0.25">
      <c r="A97" s="214"/>
      <c r="B97" s="215"/>
      <c r="C97" s="216"/>
      <c r="D97" s="217"/>
      <c r="E97" s="216"/>
      <c r="F97" s="158"/>
      <c r="G97" s="216"/>
      <c r="H97" s="222">
        <v>3</v>
      </c>
      <c r="I97" s="224">
        <v>5</v>
      </c>
      <c r="J97" s="275"/>
      <c r="K97" s="342"/>
      <c r="L97" s="224" t="s">
        <v>139</v>
      </c>
      <c r="M97" s="224"/>
      <c r="N97" s="172">
        <f>+N98</f>
        <v>6690</v>
      </c>
      <c r="O97" s="66">
        <f>+O98</f>
        <v>0</v>
      </c>
      <c r="P97" s="156"/>
    </row>
    <row r="98" spans="1:16" ht="15" x14ac:dyDescent="0.25">
      <c r="A98" s="214"/>
      <c r="B98" s="215"/>
      <c r="C98" s="216"/>
      <c r="D98" s="217"/>
      <c r="E98" s="216"/>
      <c r="F98" s="158"/>
      <c r="G98" s="216"/>
      <c r="H98" s="222"/>
      <c r="I98" s="216"/>
      <c r="J98" s="274">
        <v>3</v>
      </c>
      <c r="K98" s="344"/>
      <c r="L98" s="216" t="s">
        <v>51</v>
      </c>
      <c r="M98" s="216"/>
      <c r="N98" s="166">
        <f>Calculo!$G$196</f>
        <v>6690</v>
      </c>
      <c r="O98" s="168"/>
      <c r="P98" s="156"/>
    </row>
    <row r="99" spans="1:16" ht="15" x14ac:dyDescent="0.25">
      <c r="A99" s="214"/>
      <c r="B99" s="215"/>
      <c r="C99" s="216"/>
      <c r="D99" s="217"/>
      <c r="E99" s="216"/>
      <c r="F99" s="158"/>
      <c r="G99" s="216"/>
      <c r="H99" s="222">
        <v>3</v>
      </c>
      <c r="I99" s="224">
        <v>7</v>
      </c>
      <c r="J99" s="275"/>
      <c r="K99" s="342"/>
      <c r="L99" s="224" t="s">
        <v>53</v>
      </c>
      <c r="M99" s="224"/>
      <c r="N99" s="172">
        <f>+N100</f>
        <v>380370</v>
      </c>
      <c r="O99" s="66">
        <f>+O100</f>
        <v>0</v>
      </c>
      <c r="P99" s="156"/>
    </row>
    <row r="100" spans="1:16" ht="15" x14ac:dyDescent="0.25">
      <c r="A100" s="214"/>
      <c r="B100" s="215"/>
      <c r="C100" s="216"/>
      <c r="D100" s="217"/>
      <c r="E100" s="216"/>
      <c r="F100" s="158"/>
      <c r="G100" s="216"/>
      <c r="H100" s="222"/>
      <c r="I100" s="216"/>
      <c r="J100" s="274">
        <v>1</v>
      </c>
      <c r="K100" s="344"/>
      <c r="L100" s="216" t="s">
        <v>52</v>
      </c>
      <c r="M100" s="216"/>
      <c r="N100" s="172">
        <f>+N101</f>
        <v>380370</v>
      </c>
      <c r="O100" s="168"/>
      <c r="P100" s="156"/>
    </row>
    <row r="101" spans="1:16" ht="15" x14ac:dyDescent="0.25">
      <c r="A101" s="214"/>
      <c r="B101" s="215"/>
      <c r="C101" s="216"/>
      <c r="D101" s="217"/>
      <c r="E101" s="216"/>
      <c r="F101" s="158"/>
      <c r="G101" s="216"/>
      <c r="H101" s="222">
        <v>3</v>
      </c>
      <c r="I101" s="216">
        <v>7</v>
      </c>
      <c r="J101" s="274">
        <v>1</v>
      </c>
      <c r="K101" s="344" t="s">
        <v>35</v>
      </c>
      <c r="L101" s="274" t="s">
        <v>217</v>
      </c>
      <c r="M101" s="216"/>
      <c r="N101" s="166">
        <f>Calculo!$G$200</f>
        <v>380370</v>
      </c>
      <c r="O101" s="168"/>
      <c r="P101" s="156"/>
    </row>
    <row r="102" spans="1:16" ht="15" x14ac:dyDescent="0.25">
      <c r="A102" s="214"/>
      <c r="B102" s="215"/>
      <c r="C102" s="216"/>
      <c r="D102" s="217"/>
      <c r="E102" s="216"/>
      <c r="F102" s="158"/>
      <c r="G102" s="216"/>
      <c r="H102" s="222">
        <v>3</v>
      </c>
      <c r="I102" s="224">
        <v>9</v>
      </c>
      <c r="J102" s="275"/>
      <c r="K102" s="225"/>
      <c r="L102" s="275" t="s">
        <v>54</v>
      </c>
      <c r="M102" s="224"/>
      <c r="N102" s="172">
        <f>+N103+N104</f>
        <v>821104</v>
      </c>
      <c r="O102" s="66">
        <f>+O103+O104</f>
        <v>0</v>
      </c>
      <c r="P102" s="156"/>
    </row>
    <row r="103" spans="1:16" ht="15" x14ac:dyDescent="0.25">
      <c r="A103" s="214"/>
      <c r="B103" s="215"/>
      <c r="C103" s="216"/>
      <c r="D103" s="217"/>
      <c r="E103" s="216"/>
      <c r="F103" s="158"/>
      <c r="G103" s="216"/>
      <c r="H103" s="158"/>
      <c r="I103" s="216"/>
      <c r="J103" s="274">
        <v>1</v>
      </c>
      <c r="K103" s="220"/>
      <c r="L103" s="274" t="s">
        <v>55</v>
      </c>
      <c r="M103" s="216"/>
      <c r="N103" s="166">
        <f>Calculo!$G$207</f>
        <v>28010</v>
      </c>
      <c r="O103" s="168"/>
      <c r="P103" s="156"/>
    </row>
    <row r="104" spans="1:16" ht="15" x14ac:dyDescent="0.25">
      <c r="A104" s="214"/>
      <c r="B104" s="215"/>
      <c r="C104" s="216"/>
      <c r="D104" s="217"/>
      <c r="E104" s="216"/>
      <c r="F104" s="158"/>
      <c r="G104" s="216"/>
      <c r="H104" s="158"/>
      <c r="I104" s="216"/>
      <c r="J104" s="274">
        <v>9</v>
      </c>
      <c r="K104" s="220"/>
      <c r="L104" s="274" t="s">
        <v>56</v>
      </c>
      <c r="M104" s="216"/>
      <c r="N104" s="166">
        <f>Calculo!$G$212</f>
        <v>793094</v>
      </c>
      <c r="O104" s="168"/>
      <c r="P104" s="156"/>
    </row>
    <row r="105" spans="1:16" ht="15" x14ac:dyDescent="0.25">
      <c r="A105" s="214"/>
      <c r="B105" s="215"/>
      <c r="C105" s="216"/>
      <c r="D105" s="217"/>
      <c r="E105" s="216"/>
      <c r="F105" s="158"/>
      <c r="G105" s="216"/>
      <c r="H105" s="222"/>
      <c r="I105" s="224"/>
      <c r="J105" s="274">
        <v>424</v>
      </c>
      <c r="K105" s="220"/>
      <c r="L105" s="158"/>
      <c r="M105" s="224"/>
      <c r="N105" s="166"/>
      <c r="O105" s="66"/>
      <c r="P105" s="156"/>
    </row>
    <row r="106" spans="1:16" ht="15" x14ac:dyDescent="0.25">
      <c r="A106" s="214"/>
      <c r="B106" s="215"/>
      <c r="C106" s="216"/>
      <c r="D106" s="217"/>
      <c r="E106" s="216"/>
      <c r="F106" s="158"/>
      <c r="G106" s="216">
        <v>9998</v>
      </c>
      <c r="H106" s="222">
        <v>6</v>
      </c>
      <c r="I106" s="224"/>
      <c r="J106" s="275"/>
      <c r="K106" s="225"/>
      <c r="L106" s="222" t="s">
        <v>91</v>
      </c>
      <c r="M106" s="224"/>
      <c r="N106" s="172">
        <f>+N107</f>
        <v>8264562</v>
      </c>
      <c r="O106" s="66"/>
      <c r="P106" s="156"/>
    </row>
    <row r="107" spans="1:16" ht="15" x14ac:dyDescent="0.25">
      <c r="A107" s="214"/>
      <c r="B107" s="215"/>
      <c r="C107" s="216"/>
      <c r="D107" s="217"/>
      <c r="E107" s="216"/>
      <c r="F107" s="158"/>
      <c r="G107" s="216"/>
      <c r="H107" s="222">
        <v>6</v>
      </c>
      <c r="I107" s="224">
        <v>1</v>
      </c>
      <c r="J107" s="275"/>
      <c r="K107" s="225"/>
      <c r="L107" s="222" t="s">
        <v>92</v>
      </c>
      <c r="M107" s="224"/>
      <c r="N107" s="172">
        <f>+N108+N109+N110</f>
        <v>8264562</v>
      </c>
      <c r="O107" s="66"/>
      <c r="P107" s="156"/>
    </row>
    <row r="108" spans="1:16" ht="15" x14ac:dyDescent="0.25">
      <c r="A108" s="214"/>
      <c r="B108" s="215"/>
      <c r="C108" s="216"/>
      <c r="D108" s="217"/>
      <c r="E108" s="216"/>
      <c r="F108" s="216"/>
      <c r="G108" s="274"/>
      <c r="H108" s="158"/>
      <c r="I108" s="216">
        <v>1</v>
      </c>
      <c r="J108" s="274">
        <v>3</v>
      </c>
      <c r="K108" s="220"/>
      <c r="L108" s="158" t="s">
        <v>93</v>
      </c>
      <c r="M108" s="216"/>
      <c r="N108" s="166">
        <f>Calculo!E242</f>
        <v>2314077</v>
      </c>
      <c r="O108" s="168"/>
      <c r="P108" s="156"/>
    </row>
    <row r="109" spans="1:16" ht="15" x14ac:dyDescent="0.25">
      <c r="A109" s="214"/>
      <c r="B109" s="215"/>
      <c r="C109" s="216"/>
      <c r="D109" s="217"/>
      <c r="E109" s="216"/>
      <c r="F109" s="216"/>
      <c r="G109" s="274"/>
      <c r="H109" s="158"/>
      <c r="I109" s="216">
        <v>4</v>
      </c>
      <c r="J109" s="216">
        <v>6</v>
      </c>
      <c r="K109" s="220"/>
      <c r="L109" s="158" t="s">
        <v>220</v>
      </c>
      <c r="M109" s="216"/>
      <c r="N109" s="166">
        <f>Calculo!E241</f>
        <v>3553762</v>
      </c>
      <c r="O109" s="168"/>
      <c r="P109" s="156"/>
    </row>
    <row r="110" spans="1:16" ht="15" x14ac:dyDescent="0.25">
      <c r="A110" s="214"/>
      <c r="B110" s="215"/>
      <c r="C110" s="216"/>
      <c r="D110" s="217"/>
      <c r="E110" s="216"/>
      <c r="F110" s="216"/>
      <c r="G110" s="158"/>
      <c r="H110" s="219"/>
      <c r="I110" s="219">
        <v>1</v>
      </c>
      <c r="J110" s="216">
        <v>9</v>
      </c>
      <c r="K110" s="220"/>
      <c r="L110" s="158" t="s">
        <v>94</v>
      </c>
      <c r="M110" s="216"/>
      <c r="N110" s="166">
        <f>ROUND(Calculo!E243,0)</f>
        <v>2396723</v>
      </c>
      <c r="O110" s="168"/>
      <c r="P110" s="156"/>
    </row>
    <row r="111" spans="1:16" ht="15" x14ac:dyDescent="0.25">
      <c r="A111" s="214"/>
      <c r="B111" s="215"/>
      <c r="C111" s="216"/>
      <c r="D111" s="217"/>
      <c r="E111" s="216"/>
      <c r="F111" s="216"/>
      <c r="G111" s="158"/>
      <c r="H111" s="219"/>
      <c r="I111" s="219"/>
      <c r="J111" s="216"/>
      <c r="K111" s="220"/>
      <c r="L111" s="158"/>
      <c r="M111" s="216"/>
      <c r="N111" s="166"/>
      <c r="O111" s="168"/>
      <c r="P111" s="156"/>
    </row>
    <row r="112" spans="1:16" ht="15" x14ac:dyDescent="0.25">
      <c r="A112" s="214"/>
      <c r="B112" s="215"/>
      <c r="C112" s="216"/>
      <c r="D112" s="217"/>
      <c r="E112" s="216"/>
      <c r="F112" s="216"/>
      <c r="G112" s="158"/>
      <c r="H112" s="219"/>
      <c r="I112" s="219"/>
      <c r="J112" s="216"/>
      <c r="K112" s="216"/>
      <c r="L112" s="158"/>
      <c r="M112" s="216"/>
      <c r="N112" s="166"/>
      <c r="O112" s="168"/>
      <c r="P112" s="156"/>
    </row>
    <row r="113" spans="1:17" ht="15" x14ac:dyDescent="0.25">
      <c r="A113" s="214"/>
      <c r="B113" s="215"/>
      <c r="C113" s="216"/>
      <c r="D113" s="217"/>
      <c r="E113" s="216"/>
      <c r="F113" s="216"/>
      <c r="G113" s="158"/>
      <c r="H113" s="219"/>
      <c r="I113" s="219"/>
      <c r="J113" s="216"/>
      <c r="K113" s="216"/>
      <c r="L113" s="158"/>
      <c r="M113" s="216"/>
      <c r="N113" s="166"/>
      <c r="O113" s="168"/>
      <c r="P113" s="156"/>
    </row>
    <row r="114" spans="1:17" ht="15" x14ac:dyDescent="0.25">
      <c r="A114" s="214"/>
      <c r="B114" s="215"/>
      <c r="C114" s="216"/>
      <c r="D114" s="217"/>
      <c r="E114" s="216"/>
      <c r="F114" s="216"/>
      <c r="G114" s="158"/>
      <c r="H114" s="219"/>
      <c r="I114" s="219"/>
      <c r="J114" s="216"/>
      <c r="K114" s="216"/>
      <c r="L114" s="158"/>
      <c r="M114" s="216"/>
      <c r="N114" s="166"/>
      <c r="O114" s="168"/>
      <c r="P114" s="156"/>
    </row>
    <row r="115" spans="1:17" ht="15" x14ac:dyDescent="0.25">
      <c r="A115" s="214"/>
      <c r="B115" s="215"/>
      <c r="C115" s="216"/>
      <c r="D115" s="217"/>
      <c r="E115" s="216"/>
      <c r="F115" s="216"/>
      <c r="G115" s="158"/>
      <c r="H115" s="219"/>
      <c r="I115" s="219"/>
      <c r="J115" s="216"/>
      <c r="K115" s="216"/>
      <c r="L115" s="158"/>
      <c r="M115" s="216"/>
      <c r="N115" s="166"/>
      <c r="O115" s="168"/>
      <c r="P115" s="156"/>
    </row>
    <row r="116" spans="1:17" ht="15" x14ac:dyDescent="0.25">
      <c r="A116" s="214"/>
      <c r="B116" s="215"/>
      <c r="C116" s="216"/>
      <c r="D116" s="217"/>
      <c r="E116" s="216"/>
      <c r="F116" s="216"/>
      <c r="G116" s="158"/>
      <c r="H116" s="219"/>
      <c r="I116" s="219"/>
      <c r="J116" s="216"/>
      <c r="K116" s="216"/>
      <c r="L116" s="158"/>
      <c r="M116" s="216"/>
      <c r="N116" s="166"/>
      <c r="O116" s="168"/>
      <c r="P116" s="156"/>
    </row>
    <row r="117" spans="1:17" ht="15" x14ac:dyDescent="0.25">
      <c r="A117" s="214"/>
      <c r="B117" s="215"/>
      <c r="C117" s="216"/>
      <c r="D117" s="217"/>
      <c r="E117" s="216"/>
      <c r="F117" s="216"/>
      <c r="G117" s="158"/>
      <c r="H117" s="219"/>
      <c r="I117" s="219"/>
      <c r="J117" s="216"/>
      <c r="K117" s="216"/>
      <c r="L117" s="158"/>
      <c r="M117" s="216"/>
      <c r="N117" s="166"/>
      <c r="O117" s="168"/>
      <c r="P117" s="156"/>
    </row>
    <row r="118" spans="1:17" ht="15" x14ac:dyDescent="0.25">
      <c r="A118" s="214"/>
      <c r="B118" s="215"/>
      <c r="C118" s="216"/>
      <c r="D118" s="217"/>
      <c r="E118" s="216"/>
      <c r="F118" s="216"/>
      <c r="G118" s="158"/>
      <c r="H118" s="219"/>
      <c r="I118" s="219"/>
      <c r="J118" s="216"/>
      <c r="K118" s="216"/>
      <c r="L118" s="158"/>
      <c r="M118" s="216"/>
      <c r="N118" s="166"/>
      <c r="O118" s="168"/>
      <c r="P118" s="156"/>
      <c r="Q118" s="345"/>
    </row>
    <row r="119" spans="1:17" ht="15" x14ac:dyDescent="0.25">
      <c r="A119" s="214"/>
      <c r="B119" s="215"/>
      <c r="C119" s="216"/>
      <c r="D119" s="217"/>
      <c r="E119" s="216"/>
      <c r="F119" s="216"/>
      <c r="G119" s="158"/>
      <c r="H119" s="219"/>
      <c r="I119" s="219"/>
      <c r="J119" s="216"/>
      <c r="K119" s="216"/>
      <c r="L119" s="158"/>
      <c r="M119" s="216"/>
      <c r="N119" s="166"/>
      <c r="O119" s="168"/>
      <c r="P119" s="156"/>
      <c r="Q119" s="345"/>
    </row>
    <row r="120" spans="1:17" ht="15" x14ac:dyDescent="0.25">
      <c r="A120" s="214"/>
      <c r="B120" s="215"/>
      <c r="C120" s="216"/>
      <c r="D120" s="217"/>
      <c r="E120" s="216"/>
      <c r="F120" s="216"/>
      <c r="G120" s="158"/>
      <c r="H120" s="219"/>
      <c r="I120" s="219"/>
      <c r="J120" s="216"/>
      <c r="K120" s="216"/>
      <c r="L120" s="158"/>
      <c r="M120" s="216"/>
      <c r="N120" s="166"/>
      <c r="O120" s="168"/>
      <c r="P120" s="156"/>
      <c r="Q120" s="345"/>
    </row>
    <row r="121" spans="1:17" ht="15" x14ac:dyDescent="0.25">
      <c r="A121" s="214"/>
      <c r="B121" s="215"/>
      <c r="C121" s="216"/>
      <c r="D121" s="217"/>
      <c r="E121" s="216"/>
      <c r="F121" s="216"/>
      <c r="G121" s="158"/>
      <c r="H121" s="219"/>
      <c r="I121" s="219"/>
      <c r="J121" s="216"/>
      <c r="K121" s="216"/>
      <c r="L121" s="158"/>
      <c r="M121" s="216"/>
      <c r="N121" s="166"/>
      <c r="O121" s="168"/>
      <c r="P121" s="156"/>
      <c r="Q121" s="345"/>
    </row>
    <row r="122" spans="1:17" ht="15" x14ac:dyDescent="0.25">
      <c r="A122" s="214"/>
      <c r="B122" s="215"/>
      <c r="C122" s="216"/>
      <c r="D122" s="217"/>
      <c r="E122" s="216"/>
      <c r="F122" s="216"/>
      <c r="G122" s="158"/>
      <c r="H122" s="219"/>
      <c r="I122" s="219"/>
      <c r="J122" s="216"/>
      <c r="K122" s="216"/>
      <c r="L122" s="158"/>
      <c r="M122" s="216"/>
      <c r="N122" s="166"/>
      <c r="O122" s="168"/>
      <c r="P122" s="156"/>
      <c r="Q122" s="345"/>
    </row>
    <row r="123" spans="1:17" ht="15" x14ac:dyDescent="0.25">
      <c r="A123" s="214"/>
      <c r="B123" s="215"/>
      <c r="C123" s="216"/>
      <c r="D123" s="217"/>
      <c r="E123" s="216"/>
      <c r="F123" s="216"/>
      <c r="G123" s="158"/>
      <c r="H123" s="219"/>
      <c r="I123" s="219"/>
      <c r="J123" s="216"/>
      <c r="K123" s="216"/>
      <c r="L123" s="158"/>
      <c r="M123" s="216"/>
      <c r="N123" s="166"/>
      <c r="O123" s="168"/>
      <c r="P123" s="156"/>
      <c r="Q123" s="345"/>
    </row>
    <row r="124" spans="1:17" ht="15" x14ac:dyDescent="0.25">
      <c r="A124" s="214"/>
      <c r="B124" s="215"/>
      <c r="C124" s="216"/>
      <c r="D124" s="217"/>
      <c r="E124" s="216"/>
      <c r="F124" s="216"/>
      <c r="G124" s="158"/>
      <c r="H124" s="219"/>
      <c r="I124" s="219"/>
      <c r="J124" s="216"/>
      <c r="K124" s="216"/>
      <c r="L124" s="158"/>
      <c r="M124" s="216"/>
      <c r="N124" s="166"/>
      <c r="O124" s="168"/>
      <c r="P124" s="156"/>
      <c r="Q124" s="345"/>
    </row>
    <row r="125" spans="1:17" ht="15" x14ac:dyDescent="0.25">
      <c r="A125" s="214"/>
      <c r="B125" s="215"/>
      <c r="C125" s="216"/>
      <c r="D125" s="217"/>
      <c r="E125" s="216"/>
      <c r="F125" s="216"/>
      <c r="G125" s="158"/>
      <c r="H125" s="219"/>
      <c r="I125" s="219"/>
      <c r="J125" s="216"/>
      <c r="K125" s="216"/>
      <c r="L125" s="158"/>
      <c r="M125" s="216"/>
      <c r="N125" s="166"/>
      <c r="O125" s="168"/>
      <c r="P125" s="156"/>
      <c r="Q125" s="345"/>
    </row>
    <row r="126" spans="1:17" ht="15" x14ac:dyDescent="0.25">
      <c r="A126" s="214"/>
      <c r="B126" s="215"/>
      <c r="C126" s="216"/>
      <c r="D126" s="217"/>
      <c r="E126" s="216"/>
      <c r="F126" s="216"/>
      <c r="G126" s="158"/>
      <c r="H126" s="219"/>
      <c r="I126" s="219"/>
      <c r="J126" s="216"/>
      <c r="K126" s="216"/>
      <c r="L126" s="158"/>
      <c r="M126" s="216"/>
      <c r="N126" s="166"/>
      <c r="O126" s="168"/>
      <c r="P126" s="156"/>
      <c r="Q126" s="345"/>
    </row>
    <row r="127" spans="1:17" ht="15.75" thickBot="1" x14ac:dyDescent="0.3">
      <c r="A127" s="256"/>
      <c r="B127" s="257"/>
      <c r="C127" s="258"/>
      <c r="D127" s="259"/>
      <c r="E127" s="258"/>
      <c r="F127" s="258"/>
      <c r="G127" s="228"/>
      <c r="H127" s="260"/>
      <c r="I127" s="260"/>
      <c r="J127" s="258"/>
      <c r="K127" s="258"/>
      <c r="L127" s="228"/>
      <c r="M127" s="258"/>
      <c r="N127" s="276"/>
      <c r="O127" s="229"/>
      <c r="P127" s="156"/>
    </row>
    <row r="128" spans="1:17" ht="15.75" thickBot="1" x14ac:dyDescent="0.3">
      <c r="A128" s="424"/>
      <c r="B128" s="425"/>
      <c r="C128" s="426"/>
      <c r="D128" s="427"/>
      <c r="E128" s="426"/>
      <c r="F128" s="426"/>
      <c r="G128" s="784" t="s">
        <v>15</v>
      </c>
      <c r="H128" s="784"/>
      <c r="I128" s="784"/>
      <c r="J128" s="785"/>
      <c r="K128" s="548"/>
      <c r="L128" s="548"/>
      <c r="M128" s="426"/>
      <c r="N128" s="428">
        <f>N15+N35+N92+N106</f>
        <v>29316570</v>
      </c>
      <c r="O128" s="429"/>
      <c r="P128" s="156"/>
    </row>
    <row r="129" spans="1:18" ht="15.75" thickTop="1" x14ac:dyDescent="0.2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6"/>
      <c r="O129" s="156"/>
      <c r="P129" s="158"/>
    </row>
    <row r="130" spans="1:18" ht="15" x14ac:dyDescent="0.2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6"/>
      <c r="O130" s="156"/>
      <c r="P130" s="158"/>
    </row>
    <row r="131" spans="1:18" ht="15" x14ac:dyDescent="0.2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6"/>
      <c r="O131" s="156"/>
      <c r="P131" s="158"/>
    </row>
    <row r="132" spans="1:18" ht="15" x14ac:dyDescent="0.2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6"/>
      <c r="O132" s="156"/>
      <c r="P132" s="158"/>
    </row>
    <row r="133" spans="1:18" ht="15" x14ac:dyDescent="0.25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6"/>
      <c r="O133" s="156"/>
      <c r="P133" s="158"/>
    </row>
    <row r="134" spans="1:18" ht="15" x14ac:dyDescent="0.2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6"/>
      <c r="O134" s="156"/>
      <c r="P134" s="158"/>
    </row>
    <row r="135" spans="1:18" ht="15" x14ac:dyDescent="0.25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6"/>
      <c r="O135" s="156"/>
      <c r="P135" s="158"/>
    </row>
    <row r="136" spans="1:18" ht="15" x14ac:dyDescent="0.2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6"/>
      <c r="O136" s="156"/>
      <c r="P136" s="158"/>
    </row>
    <row r="137" spans="1:18" ht="15" x14ac:dyDescent="0.2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6"/>
      <c r="O137" s="156"/>
      <c r="P137" s="158"/>
    </row>
    <row r="138" spans="1:18" ht="15" x14ac:dyDescent="0.25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6"/>
      <c r="O138" s="156"/>
      <c r="P138" s="158"/>
    </row>
    <row r="139" spans="1:18" ht="15" x14ac:dyDescent="0.2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6"/>
      <c r="O139" s="156"/>
      <c r="P139" s="158"/>
    </row>
    <row r="140" spans="1:18" ht="15" x14ac:dyDescent="0.2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6"/>
      <c r="O140" s="156"/>
      <c r="P140" s="158"/>
    </row>
    <row r="141" spans="1:18" ht="15" x14ac:dyDescent="0.25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6"/>
      <c r="O141" s="156"/>
      <c r="P141" s="158"/>
    </row>
    <row r="142" spans="1:18" ht="15.75" x14ac:dyDescent="0.25">
      <c r="A142" s="740" t="str">
        <f>+'Hoja3 - H'!A147</f>
        <v>LIC.  MARICELA CHECO</v>
      </c>
      <c r="B142" s="740"/>
      <c r="C142" s="740"/>
      <c r="D142" s="740"/>
      <c r="E142" s="740"/>
      <c r="F142" s="740"/>
      <c r="G142" s="740"/>
      <c r="H142" s="740"/>
      <c r="I142" s="740"/>
      <c r="J142" s="740"/>
      <c r="K142" s="740"/>
      <c r="L142" s="740" t="str">
        <f>+'Hoja3 - H'!M147</f>
        <v xml:space="preserve">FERNANDO DURÁN </v>
      </c>
      <c r="M142" s="740"/>
      <c r="N142" s="740"/>
      <c r="O142" s="740"/>
      <c r="P142" s="291"/>
      <c r="Q142" s="291"/>
      <c r="R142" s="291"/>
    </row>
    <row r="143" spans="1:18" ht="15.75" x14ac:dyDescent="0.25">
      <c r="A143" s="741" t="s">
        <v>210</v>
      </c>
      <c r="B143" s="741"/>
      <c r="C143" s="741"/>
      <c r="D143" s="741"/>
      <c r="E143" s="741"/>
      <c r="F143" s="741"/>
      <c r="G143" s="741"/>
      <c r="H143" s="741"/>
      <c r="I143" s="741"/>
      <c r="J143" s="741"/>
      <c r="K143" s="741"/>
      <c r="L143" s="742" t="s">
        <v>213</v>
      </c>
      <c r="M143" s="742"/>
      <c r="N143" s="742"/>
      <c r="O143" s="742"/>
      <c r="P143" s="291"/>
      <c r="Q143" s="291"/>
      <c r="R143" s="291"/>
    </row>
    <row r="144" spans="1:18" ht="15.75" x14ac:dyDescent="0.25">
      <c r="A144" s="742" t="str">
        <f>+'Hoja3 - H'!A149</f>
        <v xml:space="preserve">Contralor </v>
      </c>
      <c r="B144" s="742"/>
      <c r="C144" s="742"/>
      <c r="D144" s="742"/>
      <c r="E144" s="742"/>
      <c r="F144" s="742"/>
      <c r="G144" s="742"/>
      <c r="H144" s="742"/>
      <c r="I144" s="742"/>
      <c r="J144" s="742"/>
      <c r="K144" s="742"/>
      <c r="L144" s="742" t="str">
        <f>+'Hoja3 - H'!M149</f>
        <v>ADMINSTRADOR GENERAL</v>
      </c>
      <c r="M144" s="742"/>
      <c r="N144" s="742"/>
      <c r="O144" s="742"/>
      <c r="P144" s="291"/>
      <c r="Q144" s="291"/>
      <c r="R144" s="291"/>
    </row>
    <row r="145" spans="1:18" ht="15.75" x14ac:dyDescent="0.25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</row>
  </sheetData>
  <mergeCells count="29">
    <mergeCell ref="A2:O2"/>
    <mergeCell ref="A3:O3"/>
    <mergeCell ref="A11:J11"/>
    <mergeCell ref="M11:O11"/>
    <mergeCell ref="A12:G12"/>
    <mergeCell ref="M4:N4"/>
    <mergeCell ref="A6:H6"/>
    <mergeCell ref="A7:H7"/>
    <mergeCell ref="A8:H8"/>
    <mergeCell ref="A88:L88"/>
    <mergeCell ref="H89:L89"/>
    <mergeCell ref="H12:L12"/>
    <mergeCell ref="L13:L14"/>
    <mergeCell ref="G128:J128"/>
    <mergeCell ref="A79:O79"/>
    <mergeCell ref="A80:O80"/>
    <mergeCell ref="M88:O88"/>
    <mergeCell ref="A89:G89"/>
    <mergeCell ref="L90:L91"/>
    <mergeCell ref="M81:O81"/>
    <mergeCell ref="A83:H83"/>
    <mergeCell ref="A84:H84"/>
    <mergeCell ref="A85:H85"/>
    <mergeCell ref="L143:O143"/>
    <mergeCell ref="L142:O142"/>
    <mergeCell ref="L144:O144"/>
    <mergeCell ref="A142:K142"/>
    <mergeCell ref="A143:K143"/>
    <mergeCell ref="A144:K144"/>
  </mergeCells>
  <phoneticPr fontId="0" type="noConversion"/>
  <pageMargins left="0.59055118110236227" right="0.27559055118110237" top="0.47244094488188981" bottom="0.98425196850393704" header="0" footer="0"/>
  <pageSetup scale="65" orientation="portrait" r:id="rId1"/>
  <headerFooter alignWithMargins="0"/>
  <rowBreaks count="1" manualBreakCount="1">
    <brk id="77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49"/>
  <sheetViews>
    <sheetView topLeftCell="A3" zoomScale="115" zoomScaleNormal="115" workbookViewId="0">
      <selection activeCell="A71" sqref="A71:XFD72"/>
    </sheetView>
  </sheetViews>
  <sheetFormatPr defaultColWidth="11.42578125" defaultRowHeight="15" x14ac:dyDescent="0.25"/>
  <cols>
    <col min="1" max="1" width="5.140625" style="158" customWidth="1"/>
    <col min="2" max="2" width="5.28515625" style="158" customWidth="1"/>
    <col min="3" max="3" width="5" style="158" customWidth="1"/>
    <col min="4" max="4" width="9.7109375" style="158" customWidth="1"/>
    <col min="5" max="5" width="7.7109375" style="158" customWidth="1"/>
    <col min="6" max="6" width="5.140625" style="158" customWidth="1"/>
    <col min="7" max="7" width="6.28515625" style="158" customWidth="1"/>
    <col min="8" max="8" width="2.85546875" style="158" customWidth="1"/>
    <col min="9" max="9" width="5.140625" style="158" customWidth="1"/>
    <col min="10" max="10" width="6.140625" style="158" customWidth="1"/>
    <col min="11" max="12" width="6.7109375" style="158" customWidth="1"/>
    <col min="13" max="13" width="39.140625" style="158" customWidth="1"/>
    <col min="14" max="14" width="12.7109375" style="158" customWidth="1"/>
    <col min="15" max="15" width="15.85546875" style="158" customWidth="1"/>
    <col min="16" max="16" width="9.7109375" style="158" customWidth="1"/>
    <col min="17" max="17" width="5.7109375" style="158" bestFit="1" customWidth="1"/>
    <col min="18" max="18" width="21.85546875" style="158" bestFit="1" customWidth="1"/>
    <col min="19" max="16384" width="11.42578125" style="158"/>
  </cols>
  <sheetData>
    <row r="1" spans="1:17" ht="15.75" thickBot="1" x14ac:dyDescent="0.3"/>
    <row r="2" spans="1:17" x14ac:dyDescent="0.25">
      <c r="A2" s="746" t="s">
        <v>174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8"/>
    </row>
    <row r="3" spans="1:17" x14ac:dyDescent="0.25">
      <c r="A3" s="761" t="s">
        <v>33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3"/>
    </row>
    <row r="4" spans="1:17" ht="15.75" x14ac:dyDescent="0.3">
      <c r="A4" s="230"/>
      <c r="O4" s="283" t="s">
        <v>157</v>
      </c>
      <c r="P4" s="293"/>
    </row>
    <row r="5" spans="1:17" x14ac:dyDescent="0.25">
      <c r="A5" s="230"/>
      <c r="P5" s="232"/>
    </row>
    <row r="6" spans="1:17" x14ac:dyDescent="0.25">
      <c r="A6" s="294" t="s">
        <v>564</v>
      </c>
      <c r="N6" s="295" t="s">
        <v>227</v>
      </c>
      <c r="O6" s="254"/>
      <c r="P6" s="232"/>
    </row>
    <row r="7" spans="1:17" x14ac:dyDescent="0.25">
      <c r="A7" s="294" t="s">
        <v>565</v>
      </c>
      <c r="N7" s="295" t="s">
        <v>1</v>
      </c>
      <c r="O7" s="254"/>
      <c r="P7" s="232"/>
    </row>
    <row r="8" spans="1:17" x14ac:dyDescent="0.25">
      <c r="A8" s="294" t="str">
        <f>+'Hoja2 - F'!A90</f>
        <v>MES: DICIEMBRE</v>
      </c>
      <c r="N8" s="295" t="s">
        <v>2</v>
      </c>
      <c r="O8" s="254"/>
      <c r="P8" s="232"/>
    </row>
    <row r="9" spans="1:17" ht="15.75" thickBot="1" x14ac:dyDescent="0.3">
      <c r="A9" s="296" t="str">
        <f>+Hoja1!B9</f>
        <v>AÑO : 2022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 t="s">
        <v>3</v>
      </c>
      <c r="O9" s="297"/>
      <c r="P9" s="537"/>
    </row>
    <row r="10" spans="1:17" ht="15.75" thickBot="1" x14ac:dyDescent="0.3">
      <c r="A10" s="233"/>
      <c r="B10" s="234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97"/>
      <c r="O10" s="284"/>
      <c r="P10" s="235"/>
    </row>
    <row r="11" spans="1:17" s="212" customFormat="1" x14ac:dyDescent="0.25">
      <c r="A11" s="773" t="s">
        <v>28</v>
      </c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547"/>
      <c r="M11" s="547"/>
      <c r="N11" s="786" t="s">
        <v>32</v>
      </c>
      <c r="O11" s="774"/>
      <c r="P11" s="787"/>
    </row>
    <row r="12" spans="1:17" s="212" customFormat="1" x14ac:dyDescent="0.25">
      <c r="A12" s="788" t="s">
        <v>9</v>
      </c>
      <c r="B12" s="789"/>
      <c r="C12" s="789"/>
      <c r="D12" s="789"/>
      <c r="E12" s="789"/>
      <c r="F12" s="789"/>
      <c r="G12" s="790"/>
      <c r="H12" s="347"/>
      <c r="I12" s="813" t="s">
        <v>27</v>
      </c>
      <c r="J12" s="814"/>
      <c r="K12" s="814"/>
      <c r="L12" s="814"/>
      <c r="M12" s="765"/>
      <c r="N12" s="441" t="s">
        <v>29</v>
      </c>
      <c r="O12" s="442" t="s">
        <v>30</v>
      </c>
      <c r="P12" s="443" t="s">
        <v>31</v>
      </c>
    </row>
    <row r="13" spans="1:17" s="212" customFormat="1" x14ac:dyDescent="0.25">
      <c r="A13" s="264"/>
      <c r="B13" s="265" t="s">
        <v>19</v>
      </c>
      <c r="C13" s="266"/>
      <c r="D13" s="265"/>
      <c r="E13" s="266"/>
      <c r="F13" s="265"/>
      <c r="G13" s="266"/>
      <c r="H13" s="266"/>
      <c r="I13" s="265"/>
      <c r="J13" s="265"/>
      <c r="K13" s="348"/>
      <c r="L13" s="348"/>
      <c r="M13" s="759"/>
      <c r="O13" s="238"/>
      <c r="P13" s="239"/>
    </row>
    <row r="14" spans="1:17" s="212" customFormat="1" ht="15.75" thickBot="1" x14ac:dyDescent="0.3">
      <c r="A14" s="267" t="s">
        <v>18</v>
      </c>
      <c r="B14" s="268" t="s">
        <v>18</v>
      </c>
      <c r="C14" s="269" t="s">
        <v>20</v>
      </c>
      <c r="D14" s="268" t="s">
        <v>21</v>
      </c>
      <c r="E14" s="269" t="s">
        <v>22</v>
      </c>
      <c r="F14" s="268" t="s">
        <v>23</v>
      </c>
      <c r="G14" s="269" t="s">
        <v>24</v>
      </c>
      <c r="H14" s="269"/>
      <c r="I14" s="268" t="s">
        <v>25</v>
      </c>
      <c r="J14" s="268" t="s">
        <v>4</v>
      </c>
      <c r="K14" s="349" t="s">
        <v>26</v>
      </c>
      <c r="L14" s="349" t="s">
        <v>155</v>
      </c>
      <c r="M14" s="760"/>
      <c r="N14" s="350" t="s">
        <v>11</v>
      </c>
      <c r="O14" s="270" t="s">
        <v>12</v>
      </c>
      <c r="P14" s="271" t="s">
        <v>13</v>
      </c>
    </row>
    <row r="15" spans="1:17" x14ac:dyDescent="0.25">
      <c r="A15" s="247" t="s">
        <v>38</v>
      </c>
      <c r="B15" s="248" t="s">
        <v>36</v>
      </c>
      <c r="C15" s="249"/>
      <c r="D15" s="250" t="s">
        <v>35</v>
      </c>
      <c r="E15" s="249"/>
      <c r="F15" s="251" t="s">
        <v>179</v>
      </c>
      <c r="G15" s="249"/>
      <c r="H15" s="251"/>
      <c r="I15" s="251">
        <v>1</v>
      </c>
      <c r="J15" s="249">
        <v>1</v>
      </c>
      <c r="K15" s="272">
        <v>1</v>
      </c>
      <c r="L15" s="272"/>
      <c r="M15" s="249" t="s">
        <v>57</v>
      </c>
      <c r="N15" s="273"/>
      <c r="O15" s="351">
        <f>+O16+O26+O30+O33</f>
        <v>70520624.920000002</v>
      </c>
      <c r="P15" s="167">
        <f>+P16+P20+P33</f>
        <v>0</v>
      </c>
      <c r="Q15" s="156"/>
    </row>
    <row r="16" spans="1:17" x14ac:dyDescent="0.25">
      <c r="A16" s="214"/>
      <c r="B16" s="215"/>
      <c r="C16" s="216"/>
      <c r="D16" s="217"/>
      <c r="E16" s="216"/>
      <c r="G16" s="216"/>
      <c r="I16" s="158">
        <v>1</v>
      </c>
      <c r="J16" s="224">
        <v>1</v>
      </c>
      <c r="K16" s="275"/>
      <c r="L16" s="275"/>
      <c r="M16" s="224" t="s">
        <v>140</v>
      </c>
      <c r="N16" s="172"/>
      <c r="O16" s="68">
        <f>+O17+O20+O23+O24</f>
        <v>62881526</v>
      </c>
      <c r="P16" s="66">
        <f>+P18+P19</f>
        <v>0</v>
      </c>
      <c r="Q16" s="156"/>
    </row>
    <row r="17" spans="1:18" x14ac:dyDescent="0.25">
      <c r="A17" s="214"/>
      <c r="B17" s="215"/>
      <c r="C17" s="216"/>
      <c r="D17" s="217"/>
      <c r="E17" s="216"/>
      <c r="G17" s="216"/>
      <c r="J17" s="224"/>
      <c r="K17" s="275">
        <v>1</v>
      </c>
      <c r="L17" s="274"/>
      <c r="M17" s="224" t="s">
        <v>59</v>
      </c>
      <c r="N17" s="172"/>
      <c r="O17" s="67">
        <f>+O18+O19</f>
        <v>38364609</v>
      </c>
      <c r="P17" s="66"/>
      <c r="Q17" s="156"/>
    </row>
    <row r="18" spans="1:18" x14ac:dyDescent="0.25">
      <c r="A18" s="214"/>
      <c r="B18" s="215"/>
      <c r="C18" s="216"/>
      <c r="D18" s="217"/>
      <c r="E18" s="216"/>
      <c r="G18" s="218" t="s">
        <v>43</v>
      </c>
      <c r="H18" s="346"/>
      <c r="J18" s="216"/>
      <c r="K18" s="274"/>
      <c r="L18" s="344" t="s">
        <v>35</v>
      </c>
      <c r="M18" s="216" t="s">
        <v>103</v>
      </c>
      <c r="N18" s="166"/>
      <c r="O18" s="159">
        <f>ROUND(Hoja1!I19*0.63,0)</f>
        <v>24232500</v>
      </c>
      <c r="P18" s="168"/>
      <c r="Q18" s="156"/>
      <c r="R18" s="226"/>
    </row>
    <row r="19" spans="1:18" x14ac:dyDescent="0.25">
      <c r="A19" s="214"/>
      <c r="B19" s="215"/>
      <c r="C19" s="216"/>
      <c r="D19" s="217"/>
      <c r="E19" s="216"/>
      <c r="G19" s="216">
        <v>9998</v>
      </c>
      <c r="J19" s="216"/>
      <c r="K19" s="274"/>
      <c r="L19" s="344" t="s">
        <v>35</v>
      </c>
      <c r="M19" s="216" t="s">
        <v>103</v>
      </c>
      <c r="N19" s="166"/>
      <c r="O19" s="71">
        <f>ROUND(Calculo!H52-O18,0)</f>
        <v>14132109</v>
      </c>
      <c r="P19" s="168"/>
      <c r="Q19" s="156"/>
      <c r="R19" s="156"/>
    </row>
    <row r="20" spans="1:18" x14ac:dyDescent="0.25">
      <c r="A20" s="214"/>
      <c r="B20" s="215"/>
      <c r="C20" s="216"/>
      <c r="D20" s="217"/>
      <c r="E20" s="216"/>
      <c r="G20" s="216">
        <v>9998</v>
      </c>
      <c r="J20" s="224"/>
      <c r="K20" s="275">
        <v>2</v>
      </c>
      <c r="L20" s="344"/>
      <c r="M20" s="216" t="s">
        <v>60</v>
      </c>
      <c r="N20" s="172"/>
      <c r="O20" s="68">
        <f>ROUND(O21+O22,0)</f>
        <v>42374</v>
      </c>
      <c r="P20" s="66">
        <f>+P21</f>
        <v>0</v>
      </c>
      <c r="Q20" s="156"/>
    </row>
    <row r="21" spans="1:18" x14ac:dyDescent="0.25">
      <c r="A21" s="214"/>
      <c r="B21" s="215"/>
      <c r="C21" s="216"/>
      <c r="D21" s="217"/>
      <c r="E21" s="216"/>
      <c r="G21" s="216"/>
      <c r="J21" s="216"/>
      <c r="K21" s="274"/>
      <c r="L21" s="344" t="s">
        <v>197</v>
      </c>
      <c r="M21" s="274" t="s">
        <v>566</v>
      </c>
      <c r="N21" s="166"/>
      <c r="O21" s="71">
        <f>Calculo!$H$55</f>
        <v>42374</v>
      </c>
      <c r="P21" s="168"/>
      <c r="Q21" s="156"/>
    </row>
    <row r="22" spans="1:18" hidden="1" x14ac:dyDescent="0.25">
      <c r="A22" s="214"/>
      <c r="B22" s="215"/>
      <c r="C22" s="216"/>
      <c r="D22" s="217"/>
      <c r="E22" s="216"/>
      <c r="G22" s="218" t="s">
        <v>43</v>
      </c>
      <c r="H22" s="346"/>
      <c r="I22" s="158">
        <v>1</v>
      </c>
      <c r="J22" s="216">
        <v>1</v>
      </c>
      <c r="K22" s="274">
        <v>2</v>
      </c>
      <c r="L22" s="344" t="s">
        <v>198</v>
      </c>
      <c r="M22" s="158" t="s">
        <v>225</v>
      </c>
      <c r="N22" s="166"/>
      <c r="O22" s="71">
        <f>Calculo!H56</f>
        <v>0</v>
      </c>
      <c r="P22" s="168"/>
      <c r="Q22" s="156"/>
    </row>
    <row r="23" spans="1:18" x14ac:dyDescent="0.25">
      <c r="A23" s="214"/>
      <c r="B23" s="215"/>
      <c r="C23" s="216"/>
      <c r="D23" s="217"/>
      <c r="E23" s="216"/>
      <c r="G23" s="216">
        <v>9998</v>
      </c>
      <c r="J23" s="219"/>
      <c r="K23" s="224">
        <v>4</v>
      </c>
      <c r="L23" s="220"/>
      <c r="M23" s="274" t="s">
        <v>132</v>
      </c>
      <c r="N23" s="166"/>
      <c r="O23" s="71">
        <f>ROUND(Calculo!$H$61,0)</f>
        <v>8137081</v>
      </c>
      <c r="P23" s="168"/>
      <c r="Q23" s="156"/>
    </row>
    <row r="24" spans="1:18" x14ac:dyDescent="0.25">
      <c r="A24" s="214"/>
      <c r="B24" s="215"/>
      <c r="C24" s="216"/>
      <c r="D24" s="217"/>
      <c r="E24" s="216"/>
      <c r="G24" s="216">
        <v>9998</v>
      </c>
      <c r="J24" s="219"/>
      <c r="K24" s="224">
        <v>5</v>
      </c>
      <c r="L24" s="220"/>
      <c r="M24" s="274" t="s">
        <v>61</v>
      </c>
      <c r="N24" s="166"/>
      <c r="O24" s="68">
        <f>+O25</f>
        <v>16337462</v>
      </c>
      <c r="P24" s="168"/>
      <c r="Q24" s="156"/>
    </row>
    <row r="25" spans="1:18" x14ac:dyDescent="0.25">
      <c r="A25" s="214"/>
      <c r="B25" s="215"/>
      <c r="C25" s="216"/>
      <c r="D25" s="217"/>
      <c r="E25" s="216"/>
      <c r="G25" s="216"/>
      <c r="J25" s="219"/>
      <c r="K25" s="216"/>
      <c r="L25" s="220" t="s">
        <v>35</v>
      </c>
      <c r="M25" s="158" t="s">
        <v>61</v>
      </c>
      <c r="N25" s="166"/>
      <c r="O25" s="71">
        <f>ROUND(Calculo!$H$64,0)</f>
        <v>16337462</v>
      </c>
      <c r="P25" s="168"/>
      <c r="Q25" s="156"/>
    </row>
    <row r="26" spans="1:18" x14ac:dyDescent="0.25">
      <c r="A26" s="214"/>
      <c r="B26" s="215"/>
      <c r="C26" s="216"/>
      <c r="D26" s="217"/>
      <c r="E26" s="216"/>
      <c r="G26" s="216">
        <v>9998</v>
      </c>
      <c r="I26" s="222">
        <v>1</v>
      </c>
      <c r="J26" s="223">
        <v>2</v>
      </c>
      <c r="K26" s="224"/>
      <c r="L26" s="225"/>
      <c r="M26" s="222" t="s">
        <v>100</v>
      </c>
      <c r="N26" s="166"/>
      <c r="O26" s="68">
        <f>+O27</f>
        <v>614812</v>
      </c>
      <c r="P26" s="168"/>
      <c r="Q26" s="156"/>
    </row>
    <row r="27" spans="1:18" x14ac:dyDescent="0.25">
      <c r="A27" s="214"/>
      <c r="B27" s="215"/>
      <c r="C27" s="216"/>
      <c r="D27" s="217"/>
      <c r="E27" s="216"/>
      <c r="G27" s="216"/>
      <c r="I27" s="222"/>
      <c r="J27" s="223"/>
      <c r="K27" s="224">
        <v>2</v>
      </c>
      <c r="L27" s="220"/>
      <c r="M27" s="158" t="s">
        <v>105</v>
      </c>
      <c r="N27" s="166"/>
      <c r="O27" s="68">
        <f>+O29</f>
        <v>614812</v>
      </c>
      <c r="P27" s="168"/>
      <c r="Q27" s="156"/>
    </row>
    <row r="28" spans="1:18" hidden="1" x14ac:dyDescent="0.25">
      <c r="A28" s="214"/>
      <c r="B28" s="215"/>
      <c r="C28" s="216"/>
      <c r="D28" s="217"/>
      <c r="E28" s="216"/>
      <c r="G28" s="216"/>
      <c r="I28" s="222"/>
      <c r="J28" s="223"/>
      <c r="K28" s="216"/>
      <c r="L28" s="220" t="s">
        <v>37</v>
      </c>
      <c r="M28" s="158" t="s">
        <v>107</v>
      </c>
      <c r="N28" s="166"/>
      <c r="O28" s="71">
        <f>Calculo!H72</f>
        <v>0</v>
      </c>
      <c r="P28" s="168"/>
      <c r="Q28" s="156"/>
    </row>
    <row r="29" spans="1:18" x14ac:dyDescent="0.25">
      <c r="A29" s="214"/>
      <c r="B29" s="215"/>
      <c r="C29" s="216"/>
      <c r="D29" s="217"/>
      <c r="E29" s="216"/>
      <c r="G29" s="216"/>
      <c r="I29" s="222"/>
      <c r="J29" s="223"/>
      <c r="K29" s="216"/>
      <c r="L29" s="220" t="s">
        <v>208</v>
      </c>
      <c r="M29" s="158" t="s">
        <v>108</v>
      </c>
      <c r="N29" s="166"/>
      <c r="O29" s="71">
        <f>Calculo!$H$73</f>
        <v>614812</v>
      </c>
      <c r="P29" s="168"/>
      <c r="Q29" s="156"/>
    </row>
    <row r="30" spans="1:18" x14ac:dyDescent="0.25">
      <c r="A30" s="214"/>
      <c r="B30" s="215"/>
      <c r="C30" s="216"/>
      <c r="D30" s="217"/>
      <c r="E30" s="216"/>
      <c r="G30" s="216">
        <v>9998</v>
      </c>
      <c r="I30" s="222">
        <v>1</v>
      </c>
      <c r="J30" s="223">
        <v>4</v>
      </c>
      <c r="K30" s="216"/>
      <c r="L30" s="220"/>
      <c r="M30" s="275" t="s">
        <v>109</v>
      </c>
      <c r="N30" s="166"/>
      <c r="O30" s="68">
        <f>+O31</f>
        <v>4305994.92</v>
      </c>
      <c r="P30" s="168"/>
      <c r="Q30" s="156"/>
    </row>
    <row r="31" spans="1:18" x14ac:dyDescent="0.25">
      <c r="A31" s="214"/>
      <c r="B31" s="215"/>
      <c r="C31" s="216"/>
      <c r="D31" s="217"/>
      <c r="E31" s="216"/>
      <c r="G31" s="216"/>
      <c r="J31" s="216"/>
      <c r="K31" s="275">
        <v>2</v>
      </c>
      <c r="L31" s="220"/>
      <c r="M31" s="274" t="s">
        <v>63</v>
      </c>
      <c r="N31" s="166"/>
      <c r="O31" s="71">
        <f>+O32</f>
        <v>4305994.92</v>
      </c>
      <c r="P31" s="168"/>
      <c r="Q31" s="156"/>
    </row>
    <row r="32" spans="1:18" x14ac:dyDescent="0.25">
      <c r="A32" s="214"/>
      <c r="B32" s="215"/>
      <c r="C32" s="216"/>
      <c r="D32" s="217"/>
      <c r="E32" s="216"/>
      <c r="G32" s="216"/>
      <c r="J32" s="216"/>
      <c r="K32" s="274"/>
      <c r="L32" s="344" t="s">
        <v>198</v>
      </c>
      <c r="M32" s="216" t="s">
        <v>110</v>
      </c>
      <c r="N32" s="166"/>
      <c r="O32" s="71">
        <f>Calculo!$H$77</f>
        <v>4305994.92</v>
      </c>
      <c r="P32" s="168"/>
      <c r="Q32" s="156"/>
    </row>
    <row r="33" spans="1:19" x14ac:dyDescent="0.25">
      <c r="A33" s="214"/>
      <c r="B33" s="215"/>
      <c r="C33" s="216"/>
      <c r="D33" s="217"/>
      <c r="E33" s="216"/>
      <c r="G33" s="216">
        <v>9998</v>
      </c>
      <c r="I33" s="158">
        <v>1</v>
      </c>
      <c r="J33" s="224">
        <v>5</v>
      </c>
      <c r="K33" s="275"/>
      <c r="L33" s="342"/>
      <c r="M33" s="224" t="s">
        <v>64</v>
      </c>
      <c r="N33" s="172"/>
      <c r="O33" s="68">
        <f>+O34</f>
        <v>2718292</v>
      </c>
      <c r="P33" s="66">
        <f>+P34</f>
        <v>0</v>
      </c>
      <c r="Q33" s="156"/>
    </row>
    <row r="34" spans="1:19" x14ac:dyDescent="0.25">
      <c r="A34" s="214"/>
      <c r="B34" s="215"/>
      <c r="C34" s="216"/>
      <c r="D34" s="217"/>
      <c r="E34" s="216"/>
      <c r="G34" s="216"/>
      <c r="J34" s="216"/>
      <c r="K34" s="274">
        <v>2</v>
      </c>
      <c r="L34" s="344"/>
      <c r="M34" s="216" t="s">
        <v>65</v>
      </c>
      <c r="N34" s="166"/>
      <c r="O34" s="71">
        <f>Calculo!$H$85</f>
        <v>2718292</v>
      </c>
      <c r="P34" s="168"/>
      <c r="Q34" s="156"/>
      <c r="R34" s="226"/>
    </row>
    <row r="35" spans="1:19" x14ac:dyDescent="0.25">
      <c r="A35" s="214"/>
      <c r="B35" s="215"/>
      <c r="C35" s="216"/>
      <c r="D35" s="217"/>
      <c r="E35" s="216"/>
      <c r="G35" s="216"/>
      <c r="J35" s="216"/>
      <c r="K35" s="274"/>
      <c r="L35" s="344"/>
      <c r="M35" s="216"/>
      <c r="N35" s="166"/>
      <c r="O35" s="455"/>
      <c r="P35" s="168"/>
      <c r="Q35" s="156"/>
      <c r="R35" s="226"/>
    </row>
    <row r="36" spans="1:19" x14ac:dyDescent="0.25">
      <c r="A36" s="214"/>
      <c r="B36" s="215"/>
      <c r="C36" s="216"/>
      <c r="D36" s="217"/>
      <c r="E36" s="216"/>
      <c r="G36" s="216">
        <v>9998</v>
      </c>
      <c r="I36" s="222">
        <v>2</v>
      </c>
      <c r="J36" s="224"/>
      <c r="K36" s="275"/>
      <c r="L36" s="342"/>
      <c r="M36" s="224" t="s">
        <v>66</v>
      </c>
      <c r="N36" s="172"/>
      <c r="O36" s="68">
        <f>+O37+O43+O45+O47+O49+O52+O55+O62</f>
        <v>20937812.399999999</v>
      </c>
      <c r="P36" s="66">
        <f>+P37+P43+P45+P47+P49+P52+P55+P62</f>
        <v>0</v>
      </c>
      <c r="Q36" s="156"/>
      <c r="R36" s="226"/>
      <c r="S36" s="156"/>
    </row>
    <row r="37" spans="1:19" x14ac:dyDescent="0.25">
      <c r="A37" s="214"/>
      <c r="B37" s="215"/>
      <c r="C37" s="216"/>
      <c r="D37" s="217"/>
      <c r="E37" s="216"/>
      <c r="G37" s="216"/>
      <c r="I37" s="222">
        <v>2</v>
      </c>
      <c r="J37" s="224">
        <v>1</v>
      </c>
      <c r="K37" s="275"/>
      <c r="L37" s="342"/>
      <c r="M37" s="224" t="s">
        <v>67</v>
      </c>
      <c r="N37" s="172"/>
      <c r="O37" s="68">
        <f>+O38+O39+O41+O42</f>
        <v>3304355</v>
      </c>
      <c r="P37" s="66">
        <f>+P38</f>
        <v>0</v>
      </c>
      <c r="Q37" s="156"/>
      <c r="R37" s="352"/>
    </row>
    <row r="38" spans="1:19" x14ac:dyDescent="0.25">
      <c r="A38" s="214"/>
      <c r="B38" s="215"/>
      <c r="C38" s="216"/>
      <c r="D38" s="217"/>
      <c r="E38" s="216"/>
      <c r="G38" s="216"/>
      <c r="I38" s="222"/>
      <c r="J38" s="216"/>
      <c r="K38" s="274">
        <v>3</v>
      </c>
      <c r="L38" s="344"/>
      <c r="M38" s="216" t="s">
        <v>68</v>
      </c>
      <c r="N38" s="166"/>
      <c r="O38" s="71">
        <f>Calculo!$H$92</f>
        <v>1041221</v>
      </c>
      <c r="P38" s="168"/>
      <c r="Q38" s="156"/>
    </row>
    <row r="39" spans="1:19" x14ac:dyDescent="0.25">
      <c r="A39" s="214"/>
      <c r="B39" s="215"/>
      <c r="C39" s="216"/>
      <c r="D39" s="217"/>
      <c r="E39" s="216"/>
      <c r="G39" s="216"/>
      <c r="I39" s="222"/>
      <c r="J39" s="216"/>
      <c r="K39" s="275">
        <v>6</v>
      </c>
      <c r="L39" s="344"/>
      <c r="M39" s="216" t="s">
        <v>114</v>
      </c>
      <c r="N39" s="166"/>
      <c r="O39" s="68">
        <f>+O40</f>
        <v>2181684</v>
      </c>
      <c r="P39" s="168"/>
      <c r="Q39" s="156"/>
    </row>
    <row r="40" spans="1:19" x14ac:dyDescent="0.25">
      <c r="A40" s="214"/>
      <c r="B40" s="215"/>
      <c r="C40" s="216"/>
      <c r="D40" s="217"/>
      <c r="E40" s="216"/>
      <c r="G40" s="216"/>
      <c r="I40" s="222"/>
      <c r="J40" s="216"/>
      <c r="K40" s="274"/>
      <c r="L40" s="344" t="s">
        <v>35</v>
      </c>
      <c r="M40" s="216" t="s">
        <v>141</v>
      </c>
      <c r="N40" s="166"/>
      <c r="O40" s="71">
        <f>Calculo!$H$95</f>
        <v>2181684</v>
      </c>
      <c r="P40" s="168"/>
      <c r="Q40" s="156"/>
    </row>
    <row r="41" spans="1:19" x14ac:dyDescent="0.25">
      <c r="A41" s="214"/>
      <c r="B41" s="215"/>
      <c r="C41" s="216"/>
      <c r="D41" s="217"/>
      <c r="E41" s="216"/>
      <c r="G41" s="216"/>
      <c r="I41" s="222"/>
      <c r="J41" s="216"/>
      <c r="K41" s="274">
        <v>7</v>
      </c>
      <c r="L41" s="344"/>
      <c r="M41" s="216" t="s">
        <v>70</v>
      </c>
      <c r="N41" s="166"/>
      <c r="O41" s="71">
        <f>Calculo!$H$96</f>
        <v>53028</v>
      </c>
      <c r="P41" s="168"/>
      <c r="Q41" s="156"/>
    </row>
    <row r="42" spans="1:19" x14ac:dyDescent="0.25">
      <c r="A42" s="214"/>
      <c r="B42" s="215"/>
      <c r="C42" s="216"/>
      <c r="D42" s="217"/>
      <c r="E42" s="216"/>
      <c r="G42" s="216"/>
      <c r="I42" s="222"/>
      <c r="J42" s="216"/>
      <c r="K42" s="274">
        <v>8</v>
      </c>
      <c r="L42" s="344"/>
      <c r="M42" s="216" t="s">
        <v>71</v>
      </c>
      <c r="N42" s="166"/>
      <c r="O42" s="71">
        <f>Calculo!$H$97</f>
        <v>28422</v>
      </c>
      <c r="P42" s="168"/>
      <c r="Q42" s="156"/>
    </row>
    <row r="43" spans="1:19" x14ac:dyDescent="0.25">
      <c r="A43" s="214"/>
      <c r="B43" s="215"/>
      <c r="C43" s="216"/>
      <c r="D43" s="217"/>
      <c r="E43" s="216"/>
      <c r="G43" s="216"/>
      <c r="I43" s="222">
        <v>2</v>
      </c>
      <c r="J43" s="224">
        <v>2</v>
      </c>
      <c r="K43" s="275"/>
      <c r="L43" s="342"/>
      <c r="M43" s="224" t="s">
        <v>72</v>
      </c>
      <c r="N43" s="172"/>
      <c r="O43" s="68">
        <f>+O44</f>
        <v>1664949</v>
      </c>
      <c r="P43" s="66">
        <f>+P44</f>
        <v>0</v>
      </c>
      <c r="Q43" s="156"/>
    </row>
    <row r="44" spans="1:19" x14ac:dyDescent="0.25">
      <c r="A44" s="214"/>
      <c r="B44" s="215"/>
      <c r="C44" s="216"/>
      <c r="D44" s="217"/>
      <c r="E44" s="216"/>
      <c r="G44" s="216"/>
      <c r="I44" s="222"/>
      <c r="J44" s="216"/>
      <c r="K44" s="274">
        <v>1</v>
      </c>
      <c r="L44" s="344"/>
      <c r="M44" s="216" t="s">
        <v>73</v>
      </c>
      <c r="N44" s="166"/>
      <c r="O44" s="71">
        <f>Calculo!$H$99</f>
        <v>1664949</v>
      </c>
      <c r="P44" s="168"/>
      <c r="Q44" s="156"/>
    </row>
    <row r="45" spans="1:19" x14ac:dyDescent="0.25">
      <c r="A45" s="214"/>
      <c r="B45" s="215"/>
      <c r="C45" s="216"/>
      <c r="D45" s="217"/>
      <c r="E45" s="216"/>
      <c r="G45" s="216"/>
      <c r="I45" s="222">
        <v>2</v>
      </c>
      <c r="J45" s="224">
        <v>3</v>
      </c>
      <c r="K45" s="275"/>
      <c r="L45" s="342"/>
      <c r="M45" s="224" t="s">
        <v>74</v>
      </c>
      <c r="N45" s="172"/>
      <c r="O45" s="68">
        <f>+O46</f>
        <v>998513</v>
      </c>
      <c r="P45" s="66">
        <f>+P46</f>
        <v>0</v>
      </c>
      <c r="Q45" s="156"/>
    </row>
    <row r="46" spans="1:19" x14ac:dyDescent="0.25">
      <c r="A46" s="214"/>
      <c r="B46" s="215"/>
      <c r="C46" s="216"/>
      <c r="D46" s="217"/>
      <c r="E46" s="216"/>
      <c r="G46" s="216"/>
      <c r="I46" s="222"/>
      <c r="J46" s="216"/>
      <c r="K46" s="274">
        <v>1</v>
      </c>
      <c r="L46" s="344"/>
      <c r="M46" s="216" t="s">
        <v>142</v>
      </c>
      <c r="N46" s="166"/>
      <c r="O46" s="71">
        <f>Calculo!$H$105</f>
        <v>998513</v>
      </c>
      <c r="P46" s="168"/>
      <c r="Q46" s="156"/>
    </row>
    <row r="47" spans="1:19" x14ac:dyDescent="0.25">
      <c r="A47" s="214"/>
      <c r="B47" s="215"/>
      <c r="C47" s="216"/>
      <c r="D47" s="217"/>
      <c r="E47" s="216"/>
      <c r="G47" s="216"/>
      <c r="I47" s="222">
        <v>2</v>
      </c>
      <c r="J47" s="224">
        <v>4</v>
      </c>
      <c r="K47" s="275"/>
      <c r="L47" s="342"/>
      <c r="M47" s="224" t="s">
        <v>76</v>
      </c>
      <c r="N47" s="172"/>
      <c r="O47" s="68">
        <f>+O48</f>
        <v>242350</v>
      </c>
      <c r="P47" s="66">
        <f>+P48</f>
        <v>0</v>
      </c>
      <c r="Q47" s="156"/>
    </row>
    <row r="48" spans="1:19" x14ac:dyDescent="0.25">
      <c r="A48" s="214"/>
      <c r="B48" s="215"/>
      <c r="C48" s="216"/>
      <c r="D48" s="217"/>
      <c r="E48" s="216"/>
      <c r="G48" s="216"/>
      <c r="I48" s="222"/>
      <c r="J48" s="216"/>
      <c r="K48" s="274">
        <v>1</v>
      </c>
      <c r="L48" s="344"/>
      <c r="M48" s="216" t="s">
        <v>77</v>
      </c>
      <c r="N48" s="166"/>
      <c r="O48" s="71">
        <f>Calculo!$H$109</f>
        <v>242350</v>
      </c>
      <c r="P48" s="168"/>
      <c r="Q48" s="156"/>
    </row>
    <row r="49" spans="1:19" x14ac:dyDescent="0.25">
      <c r="A49" s="214"/>
      <c r="B49" s="215"/>
      <c r="C49" s="216"/>
      <c r="D49" s="217"/>
      <c r="E49" s="216"/>
      <c r="G49" s="216"/>
      <c r="I49" s="222">
        <v>2</v>
      </c>
      <c r="J49" s="224">
        <v>5</v>
      </c>
      <c r="K49" s="275"/>
      <c r="L49" s="342"/>
      <c r="M49" s="224" t="s">
        <v>117</v>
      </c>
      <c r="N49" s="172"/>
      <c r="O49" s="68">
        <f>+O50+O51</f>
        <v>1164521</v>
      </c>
      <c r="P49" s="66">
        <f>+P50</f>
        <v>0</v>
      </c>
      <c r="Q49" s="156"/>
      <c r="S49" s="156"/>
    </row>
    <row r="50" spans="1:19" x14ac:dyDescent="0.25">
      <c r="A50" s="214"/>
      <c r="B50" s="215"/>
      <c r="C50" s="216"/>
      <c r="D50" s="217"/>
      <c r="E50" s="216"/>
      <c r="G50" s="216"/>
      <c r="I50" s="222"/>
      <c r="J50" s="216"/>
      <c r="K50" s="274">
        <v>1</v>
      </c>
      <c r="L50" s="344"/>
      <c r="M50" s="216" t="s">
        <v>78</v>
      </c>
      <c r="N50" s="166"/>
      <c r="O50" s="71">
        <f>ROUND(Calculo!$H$113,0)</f>
        <v>898544</v>
      </c>
      <c r="P50" s="168"/>
      <c r="Q50" s="156"/>
    </row>
    <row r="51" spans="1:19" x14ac:dyDescent="0.25">
      <c r="A51" s="214"/>
      <c r="B51" s="215"/>
      <c r="C51" s="216"/>
      <c r="D51" s="217"/>
      <c r="E51" s="216"/>
      <c r="G51" s="216"/>
      <c r="I51" s="222"/>
      <c r="J51" s="216"/>
      <c r="K51" s="274">
        <v>4</v>
      </c>
      <c r="L51" s="344"/>
      <c r="M51" s="158" t="s">
        <v>101</v>
      </c>
      <c r="N51" s="166"/>
      <c r="O51" s="71">
        <f>Calculo!$H$119</f>
        <v>265977</v>
      </c>
      <c r="P51" s="168"/>
      <c r="Q51" s="156"/>
    </row>
    <row r="52" spans="1:19" x14ac:dyDescent="0.25">
      <c r="A52" s="214"/>
      <c r="B52" s="215"/>
      <c r="C52" s="216"/>
      <c r="D52" s="217"/>
      <c r="E52" s="216"/>
      <c r="G52" s="216"/>
      <c r="I52" s="222">
        <v>2</v>
      </c>
      <c r="J52" s="224">
        <v>6</v>
      </c>
      <c r="K52" s="275"/>
      <c r="L52" s="342"/>
      <c r="M52" s="224" t="s">
        <v>79</v>
      </c>
      <c r="N52" s="172"/>
      <c r="O52" s="68">
        <f>+O53+O54</f>
        <v>6755807</v>
      </c>
      <c r="P52" s="66">
        <f>+P53</f>
        <v>0</v>
      </c>
      <c r="Q52" s="156"/>
    </row>
    <row r="53" spans="1:19" x14ac:dyDescent="0.25">
      <c r="A53" s="214"/>
      <c r="B53" s="215"/>
      <c r="C53" s="216"/>
      <c r="D53" s="217"/>
      <c r="E53" s="216"/>
      <c r="G53" s="216"/>
      <c r="I53" s="222"/>
      <c r="J53" s="216"/>
      <c r="K53" s="274">
        <v>2</v>
      </c>
      <c r="L53" s="344"/>
      <c r="M53" s="216" t="s">
        <v>143</v>
      </c>
      <c r="N53" s="166"/>
      <c r="O53" s="71">
        <f>Calculo!$H$127</f>
        <v>416909</v>
      </c>
      <c r="P53" s="168"/>
      <c r="Q53" s="156"/>
    </row>
    <row r="54" spans="1:19" x14ac:dyDescent="0.25">
      <c r="A54" s="214"/>
      <c r="B54" s="215"/>
      <c r="C54" s="216"/>
      <c r="D54" s="217"/>
      <c r="E54" s="216"/>
      <c r="G54" s="216"/>
      <c r="I54" s="222"/>
      <c r="J54" s="216"/>
      <c r="K54" s="274">
        <v>3</v>
      </c>
      <c r="L54" s="344"/>
      <c r="M54" s="216" t="s">
        <v>144</v>
      </c>
      <c r="N54" s="166"/>
      <c r="O54" s="71">
        <f>Calculo!$H$133</f>
        <v>6338898</v>
      </c>
      <c r="P54" s="168"/>
      <c r="Q54" s="156"/>
    </row>
    <row r="55" spans="1:19" ht="29.25" x14ac:dyDescent="0.25">
      <c r="A55" s="214"/>
      <c r="B55" s="215"/>
      <c r="C55" s="216"/>
      <c r="D55" s="217"/>
      <c r="E55" s="216"/>
      <c r="G55" s="216"/>
      <c r="I55" s="222">
        <v>2</v>
      </c>
      <c r="J55" s="224">
        <v>7</v>
      </c>
      <c r="K55" s="275"/>
      <c r="L55" s="342"/>
      <c r="M55" s="353" t="s">
        <v>215</v>
      </c>
      <c r="N55" s="172"/>
      <c r="O55" s="68">
        <f>+O56+O58</f>
        <v>544864</v>
      </c>
      <c r="P55" s="66">
        <f>+P56+P58</f>
        <v>0</v>
      </c>
      <c r="Q55" s="156"/>
    </row>
    <row r="56" spans="1:19" x14ac:dyDescent="0.25">
      <c r="A56" s="214"/>
      <c r="B56" s="215"/>
      <c r="C56" s="216"/>
      <c r="D56" s="217"/>
      <c r="E56" s="216"/>
      <c r="G56" s="216"/>
      <c r="I56" s="222"/>
      <c r="J56" s="216"/>
      <c r="K56" s="275">
        <v>1</v>
      </c>
      <c r="L56" s="344"/>
      <c r="M56" s="216" t="s">
        <v>81</v>
      </c>
      <c r="N56" s="166"/>
      <c r="O56" s="68">
        <f>+O57</f>
        <v>-116539</v>
      </c>
      <c r="P56" s="168"/>
      <c r="Q56" s="156"/>
    </row>
    <row r="57" spans="1:19" x14ac:dyDescent="0.25">
      <c r="A57" s="214"/>
      <c r="B57" s="215"/>
      <c r="C57" s="216"/>
      <c r="D57" s="217"/>
      <c r="E57" s="216"/>
      <c r="G57" s="216"/>
      <c r="I57" s="222"/>
      <c r="J57" s="216"/>
      <c r="K57" s="274"/>
      <c r="L57" s="344" t="s">
        <v>37</v>
      </c>
      <c r="M57" s="216" t="s">
        <v>145</v>
      </c>
      <c r="N57" s="166"/>
      <c r="O57" s="71">
        <f>Calculo!$H$140</f>
        <v>-116539</v>
      </c>
      <c r="P57" s="168"/>
      <c r="Q57" s="156"/>
    </row>
    <row r="58" spans="1:19" x14ac:dyDescent="0.25">
      <c r="A58" s="214"/>
      <c r="B58" s="215"/>
      <c r="C58" s="216"/>
      <c r="D58" s="217"/>
      <c r="E58" s="216"/>
      <c r="G58" s="216"/>
      <c r="I58" s="222"/>
      <c r="J58" s="216"/>
      <c r="K58" s="275">
        <v>2</v>
      </c>
      <c r="L58" s="344"/>
      <c r="M58" s="216" t="s">
        <v>82</v>
      </c>
      <c r="N58" s="166"/>
      <c r="O58" s="68">
        <f>+O59+O60+O61</f>
        <v>661403</v>
      </c>
      <c r="P58" s="168"/>
      <c r="Q58" s="156"/>
      <c r="R58" s="156"/>
    </row>
    <row r="59" spans="1:19" x14ac:dyDescent="0.25">
      <c r="A59" s="214"/>
      <c r="B59" s="215"/>
      <c r="C59" s="216"/>
      <c r="D59" s="217"/>
      <c r="E59" s="216"/>
      <c r="G59" s="216"/>
      <c r="I59" s="222"/>
      <c r="J59" s="216"/>
      <c r="K59" s="274"/>
      <c r="L59" s="344" t="s">
        <v>35</v>
      </c>
      <c r="M59" s="216" t="s">
        <v>146</v>
      </c>
      <c r="N59" s="166"/>
      <c r="O59" s="71">
        <f>Calculo!$H$146+Calculo!$H$147</f>
        <v>290439</v>
      </c>
      <c r="P59" s="168"/>
      <c r="Q59" s="156"/>
    </row>
    <row r="60" spans="1:19" x14ac:dyDescent="0.25">
      <c r="A60" s="214"/>
      <c r="B60" s="215"/>
      <c r="C60" s="216"/>
      <c r="D60" s="217"/>
      <c r="E60" s="216"/>
      <c r="G60" s="216"/>
      <c r="I60" s="222"/>
      <c r="J60" s="216"/>
      <c r="K60" s="274"/>
      <c r="L60" s="344" t="s">
        <v>209</v>
      </c>
      <c r="M60" s="216" t="s">
        <v>147</v>
      </c>
      <c r="N60" s="166"/>
      <c r="O60" s="71">
        <f>Calculo!H148+Calculo!H149+Calculo!H150</f>
        <v>273516</v>
      </c>
      <c r="P60" s="168"/>
      <c r="Q60" s="156"/>
      <c r="R60" s="156"/>
    </row>
    <row r="61" spans="1:19" x14ac:dyDescent="0.25">
      <c r="A61" s="214"/>
      <c r="B61" s="215"/>
      <c r="C61" s="216"/>
      <c r="D61" s="217"/>
      <c r="E61" s="216"/>
      <c r="G61" s="216"/>
      <c r="I61" s="222"/>
      <c r="J61" s="216"/>
      <c r="K61" s="275">
        <v>3</v>
      </c>
      <c r="L61" s="344" t="s">
        <v>35</v>
      </c>
      <c r="M61" s="158" t="s">
        <v>120</v>
      </c>
      <c r="N61" s="166"/>
      <c r="O61" s="71">
        <f>Calculo!$H$155</f>
        <v>97448</v>
      </c>
      <c r="P61" s="168"/>
      <c r="Q61" s="156"/>
    </row>
    <row r="62" spans="1:19" x14ac:dyDescent="0.25">
      <c r="A62" s="214"/>
      <c r="B62" s="215"/>
      <c r="C62" s="216"/>
      <c r="D62" s="217"/>
      <c r="E62" s="216"/>
      <c r="G62" s="216"/>
      <c r="I62" s="222">
        <v>2</v>
      </c>
      <c r="J62" s="224">
        <v>8</v>
      </c>
      <c r="K62" s="275"/>
      <c r="L62" s="342"/>
      <c r="M62" s="224" t="s">
        <v>83</v>
      </c>
      <c r="N62" s="172"/>
      <c r="O62" s="68">
        <f>+O63+O64+O68+O66+O65</f>
        <v>6262453.3999999985</v>
      </c>
      <c r="P62" s="66">
        <f>+P63+P64</f>
        <v>0</v>
      </c>
      <c r="Q62" s="156"/>
    </row>
    <row r="63" spans="1:19" x14ac:dyDescent="0.25">
      <c r="A63" s="214"/>
      <c r="B63" s="215"/>
      <c r="C63" s="216"/>
      <c r="D63" s="217"/>
      <c r="E63" s="216"/>
      <c r="G63" s="216"/>
      <c r="I63" s="222"/>
      <c r="J63" s="216"/>
      <c r="K63" s="274">
        <v>1</v>
      </c>
      <c r="L63" s="344" t="s">
        <v>35</v>
      </c>
      <c r="M63" s="216" t="s">
        <v>84</v>
      </c>
      <c r="N63" s="166"/>
      <c r="O63" s="71">
        <f>Calculo!$H$158</f>
        <v>3911712.3999999985</v>
      </c>
      <c r="P63" s="168"/>
      <c r="Q63" s="156"/>
    </row>
    <row r="64" spans="1:19" x14ac:dyDescent="0.25">
      <c r="A64" s="214"/>
      <c r="B64" s="215"/>
      <c r="C64" s="216"/>
      <c r="D64" s="217"/>
      <c r="E64" s="216"/>
      <c r="G64" s="216"/>
      <c r="I64" s="222"/>
      <c r="J64" s="216"/>
      <c r="K64" s="274">
        <v>2</v>
      </c>
      <c r="L64" s="344"/>
      <c r="M64" s="216" t="s">
        <v>85</v>
      </c>
      <c r="N64" s="166"/>
      <c r="O64" s="71">
        <f>ROUND(Calculo!$H$160,0)</f>
        <v>1242165</v>
      </c>
      <c r="P64" s="168"/>
      <c r="Q64" s="156"/>
    </row>
    <row r="65" spans="1:18" x14ac:dyDescent="0.25">
      <c r="A65" s="214"/>
      <c r="B65" s="215"/>
      <c r="C65" s="216"/>
      <c r="D65" s="217"/>
      <c r="E65" s="216"/>
      <c r="G65" s="216"/>
      <c r="I65" s="222"/>
      <c r="J65" s="216"/>
      <c r="K65" s="274">
        <v>4</v>
      </c>
      <c r="L65" s="344"/>
      <c r="M65" s="158" t="s">
        <v>102</v>
      </c>
      <c r="N65" s="166"/>
      <c r="O65" s="71">
        <f>+Calculo!H161</f>
        <v>10099</v>
      </c>
      <c r="P65" s="168"/>
      <c r="Q65" s="156"/>
    </row>
    <row r="66" spans="1:18" x14ac:dyDescent="0.25">
      <c r="A66" s="214"/>
      <c r="B66" s="215"/>
      <c r="C66" s="216"/>
      <c r="D66" s="217"/>
      <c r="E66" s="216"/>
      <c r="G66" s="216"/>
      <c r="I66" s="222"/>
      <c r="J66" s="216"/>
      <c r="K66" s="275">
        <v>7</v>
      </c>
      <c r="L66" s="344"/>
      <c r="M66" s="216" t="s">
        <v>163</v>
      </c>
      <c r="N66" s="166"/>
      <c r="O66" s="68">
        <f>+O67</f>
        <v>69500</v>
      </c>
      <c r="P66" s="168"/>
      <c r="Q66" s="156"/>
    </row>
    <row r="67" spans="1:18" x14ac:dyDescent="0.25">
      <c r="A67" s="214"/>
      <c r="B67" s="215"/>
      <c r="C67" s="216"/>
      <c r="D67" s="217"/>
      <c r="E67" s="216"/>
      <c r="G67" s="216"/>
      <c r="I67" s="222"/>
      <c r="J67" s="216"/>
      <c r="K67" s="274"/>
      <c r="L67" s="344" t="s">
        <v>198</v>
      </c>
      <c r="M67" s="216" t="s">
        <v>161</v>
      </c>
      <c r="N67" s="166"/>
      <c r="O67" s="71">
        <f>ROUND(Calculo!E168,0)</f>
        <v>69500</v>
      </c>
      <c r="P67" s="168"/>
      <c r="Q67" s="156"/>
    </row>
    <row r="68" spans="1:18" x14ac:dyDescent="0.25">
      <c r="A68" s="214"/>
      <c r="B68" s="215"/>
      <c r="C68" s="216"/>
      <c r="D68" s="217"/>
      <c r="E68" s="216"/>
      <c r="G68" s="216"/>
      <c r="I68" s="222"/>
      <c r="J68" s="216"/>
      <c r="K68" s="275">
        <v>9</v>
      </c>
      <c r="L68" s="344"/>
      <c r="M68" s="216" t="s">
        <v>148</v>
      </c>
      <c r="N68" s="166"/>
      <c r="O68" s="68">
        <f>+O69</f>
        <v>1028977</v>
      </c>
      <c r="P68" s="168"/>
      <c r="Q68" s="156"/>
    </row>
    <row r="69" spans="1:18" x14ac:dyDescent="0.25">
      <c r="A69" s="214"/>
      <c r="B69" s="215"/>
      <c r="C69" s="216"/>
      <c r="D69" s="217"/>
      <c r="E69" s="216"/>
      <c r="G69" s="216"/>
      <c r="I69" s="222"/>
      <c r="J69" s="216"/>
      <c r="K69" s="274"/>
      <c r="L69" s="344" t="s">
        <v>199</v>
      </c>
      <c r="M69" s="216" t="s">
        <v>126</v>
      </c>
      <c r="N69" s="166"/>
      <c r="O69" s="71">
        <f>Calculo!$H$175+Calculo!H226</f>
        <v>1028977</v>
      </c>
      <c r="P69" s="168"/>
      <c r="Q69" s="156"/>
      <c r="R69" s="156"/>
    </row>
    <row r="70" spans="1:18" x14ac:dyDescent="0.25">
      <c r="A70" s="214"/>
      <c r="B70" s="215"/>
      <c r="C70" s="216"/>
      <c r="D70" s="217"/>
      <c r="E70" s="216"/>
      <c r="G70" s="216">
        <v>9998</v>
      </c>
      <c r="I70" s="222">
        <v>3</v>
      </c>
      <c r="J70" s="224"/>
      <c r="K70" s="275"/>
      <c r="L70" s="342"/>
      <c r="M70" s="224" t="s">
        <v>87</v>
      </c>
      <c r="N70" s="172"/>
      <c r="O70" s="68">
        <f>+O73+O75+O80+O71+O77</f>
        <v>6257562</v>
      </c>
      <c r="P70" s="66">
        <f>+P73+P75+P80+P71</f>
        <v>0</v>
      </c>
      <c r="Q70" s="156"/>
    </row>
    <row r="71" spans="1:18" hidden="1" x14ac:dyDescent="0.25">
      <c r="A71" s="214"/>
      <c r="B71" s="215"/>
      <c r="C71" s="216"/>
      <c r="D71" s="217"/>
      <c r="E71" s="216"/>
      <c r="G71" s="216"/>
      <c r="I71" s="222"/>
      <c r="J71" s="224">
        <v>32</v>
      </c>
      <c r="K71" s="275"/>
      <c r="L71" s="342"/>
      <c r="M71" s="224" t="s">
        <v>182</v>
      </c>
      <c r="N71" s="172"/>
      <c r="O71" s="68">
        <f>+O72</f>
        <v>0</v>
      </c>
      <c r="P71" s="66">
        <f>+P72</f>
        <v>0</v>
      </c>
      <c r="Q71" s="156"/>
    </row>
    <row r="72" spans="1:18" hidden="1" x14ac:dyDescent="0.25">
      <c r="A72" s="214"/>
      <c r="B72" s="215"/>
      <c r="C72" s="216"/>
      <c r="D72" s="217"/>
      <c r="E72" s="216"/>
      <c r="G72" s="216"/>
      <c r="I72" s="222"/>
      <c r="J72" s="224"/>
      <c r="K72" s="274">
        <v>323</v>
      </c>
      <c r="L72" s="344"/>
      <c r="M72" s="216" t="s">
        <v>181</v>
      </c>
      <c r="N72" s="166"/>
      <c r="O72" s="71">
        <f>Calculo!$H$188</f>
        <v>0</v>
      </c>
      <c r="P72" s="168"/>
      <c r="Q72" s="156"/>
      <c r="R72" s="156"/>
    </row>
    <row r="73" spans="1:18" x14ac:dyDescent="0.25">
      <c r="A73" s="214"/>
      <c r="B73" s="215"/>
      <c r="C73" s="216"/>
      <c r="D73" s="217"/>
      <c r="E73" s="216"/>
      <c r="G73" s="216"/>
      <c r="I73" s="222">
        <v>3</v>
      </c>
      <c r="J73" s="224">
        <v>3</v>
      </c>
      <c r="K73" s="275"/>
      <c r="L73" s="342"/>
      <c r="M73" s="224" t="s">
        <v>88</v>
      </c>
      <c r="N73" s="172"/>
      <c r="O73" s="68">
        <f>+O74</f>
        <v>1183273</v>
      </c>
      <c r="P73" s="66">
        <f>+P74</f>
        <v>0</v>
      </c>
      <c r="Q73" s="156"/>
    </row>
    <row r="74" spans="1:18" x14ac:dyDescent="0.25">
      <c r="A74" s="214"/>
      <c r="B74" s="215"/>
      <c r="C74" s="216"/>
      <c r="D74" s="217"/>
      <c r="E74" s="216"/>
      <c r="G74" s="216"/>
      <c r="I74" s="222"/>
      <c r="J74" s="216"/>
      <c r="K74" s="274">
        <v>1</v>
      </c>
      <c r="L74" s="344"/>
      <c r="M74" s="216" t="s">
        <v>89</v>
      </c>
      <c r="N74" s="166"/>
      <c r="O74" s="71">
        <f>Calculo!$H$191</f>
        <v>1183273</v>
      </c>
      <c r="P74" s="168"/>
      <c r="Q74" s="156"/>
    </row>
    <row r="75" spans="1:18" x14ac:dyDescent="0.25">
      <c r="A75" s="214"/>
      <c r="B75" s="215"/>
      <c r="C75" s="216"/>
      <c r="D75" s="217"/>
      <c r="E75" s="216"/>
      <c r="G75" s="216"/>
      <c r="I75" s="222">
        <v>3</v>
      </c>
      <c r="J75" s="224">
        <v>5</v>
      </c>
      <c r="K75" s="275"/>
      <c r="L75" s="342"/>
      <c r="M75" s="224" t="s">
        <v>50</v>
      </c>
      <c r="N75" s="172"/>
      <c r="O75" s="68">
        <f>+O76</f>
        <v>28098</v>
      </c>
      <c r="P75" s="66">
        <f>+P76+P78</f>
        <v>0</v>
      </c>
      <c r="Q75" s="156"/>
    </row>
    <row r="76" spans="1:18" x14ac:dyDescent="0.25">
      <c r="A76" s="214"/>
      <c r="B76" s="215"/>
      <c r="C76" s="216"/>
      <c r="D76" s="217"/>
      <c r="E76" s="216"/>
      <c r="G76" s="216"/>
      <c r="I76" s="222"/>
      <c r="J76" s="216"/>
      <c r="K76" s="274">
        <v>3</v>
      </c>
      <c r="L76" s="344"/>
      <c r="M76" s="216" t="s">
        <v>51</v>
      </c>
      <c r="N76" s="166"/>
      <c r="O76" s="71">
        <f>Calculo!$H$196</f>
        <v>28098</v>
      </c>
      <c r="P76" s="168"/>
      <c r="Q76" s="156"/>
    </row>
    <row r="77" spans="1:18" x14ac:dyDescent="0.25">
      <c r="A77" s="214"/>
      <c r="B77" s="215"/>
      <c r="C77" s="216"/>
      <c r="D77" s="217"/>
      <c r="E77" s="216"/>
      <c r="G77" s="216"/>
      <c r="I77" s="222">
        <v>3</v>
      </c>
      <c r="J77" s="224">
        <v>7</v>
      </c>
      <c r="K77" s="275"/>
      <c r="L77" s="342"/>
      <c r="M77" s="224" t="s">
        <v>53</v>
      </c>
      <c r="N77" s="172"/>
      <c r="O77" s="68">
        <f>+O78</f>
        <v>1597555</v>
      </c>
      <c r="P77" s="168"/>
      <c r="Q77" s="156"/>
    </row>
    <row r="78" spans="1:18" x14ac:dyDescent="0.25">
      <c r="A78" s="214"/>
      <c r="B78" s="215"/>
      <c r="C78" s="216"/>
      <c r="D78" s="217"/>
      <c r="E78" s="216"/>
      <c r="G78" s="216"/>
      <c r="I78" s="222"/>
      <c r="J78" s="224"/>
      <c r="K78" s="274">
        <v>1</v>
      </c>
      <c r="L78" s="344"/>
      <c r="M78" s="216" t="s">
        <v>52</v>
      </c>
      <c r="N78" s="172"/>
      <c r="O78" s="68">
        <f>+O79</f>
        <v>1597555</v>
      </c>
      <c r="P78" s="168"/>
      <c r="Q78" s="156"/>
    </row>
    <row r="79" spans="1:18" x14ac:dyDescent="0.25">
      <c r="A79" s="214"/>
      <c r="B79" s="215"/>
      <c r="C79" s="216"/>
      <c r="D79" s="217"/>
      <c r="E79" s="216"/>
      <c r="G79" s="216"/>
      <c r="I79" s="222">
        <v>3</v>
      </c>
      <c r="J79" s="224">
        <v>7</v>
      </c>
      <c r="K79" s="274">
        <v>1</v>
      </c>
      <c r="L79" s="344" t="s">
        <v>35</v>
      </c>
      <c r="M79" s="216" t="s">
        <v>217</v>
      </c>
      <c r="N79" s="172"/>
      <c r="O79" s="71">
        <f>Calculo!$H$200</f>
        <v>1597555</v>
      </c>
      <c r="P79" s="168"/>
      <c r="Q79" s="156"/>
    </row>
    <row r="80" spans="1:18" x14ac:dyDescent="0.25">
      <c r="A80" s="214"/>
      <c r="B80" s="215"/>
      <c r="C80" s="216"/>
      <c r="D80" s="217"/>
      <c r="E80" s="216"/>
      <c r="G80" s="216"/>
      <c r="I80" s="222">
        <v>3</v>
      </c>
      <c r="J80" s="224">
        <v>9</v>
      </c>
      <c r="K80" s="275"/>
      <c r="L80" s="342"/>
      <c r="M80" s="224" t="s">
        <v>54</v>
      </c>
      <c r="N80" s="172"/>
      <c r="O80" s="68">
        <f>+O81+O82</f>
        <v>3448636</v>
      </c>
      <c r="P80" s="66">
        <f>+P81+P82</f>
        <v>0</v>
      </c>
      <c r="Q80" s="156"/>
    </row>
    <row r="81" spans="1:17" x14ac:dyDescent="0.25">
      <c r="A81" s="214"/>
      <c r="B81" s="215"/>
      <c r="C81" s="216"/>
      <c r="D81" s="217"/>
      <c r="E81" s="216"/>
      <c r="G81" s="216"/>
      <c r="I81" s="222"/>
      <c r="J81" s="216"/>
      <c r="K81" s="274">
        <v>1</v>
      </c>
      <c r="L81" s="344"/>
      <c r="M81" s="216" t="s">
        <v>55</v>
      </c>
      <c r="N81" s="166"/>
      <c r="O81" s="71">
        <f>Calculo!$H$207</f>
        <v>117641</v>
      </c>
      <c r="P81" s="168"/>
      <c r="Q81" s="156"/>
    </row>
    <row r="82" spans="1:17" ht="15.75" thickBot="1" x14ac:dyDescent="0.3">
      <c r="A82" s="256"/>
      <c r="B82" s="257"/>
      <c r="C82" s="258"/>
      <c r="D82" s="259"/>
      <c r="E82" s="258"/>
      <c r="F82" s="228"/>
      <c r="G82" s="258"/>
      <c r="H82" s="228"/>
      <c r="I82" s="234"/>
      <c r="J82" s="258"/>
      <c r="K82" s="354">
        <v>9</v>
      </c>
      <c r="L82" s="355"/>
      <c r="M82" s="258" t="s">
        <v>56</v>
      </c>
      <c r="N82" s="276"/>
      <c r="O82" s="276">
        <f>Calculo!$H$212</f>
        <v>3330995</v>
      </c>
      <c r="P82" s="229"/>
      <c r="Q82" s="156"/>
    </row>
    <row r="83" spans="1:17" x14ac:dyDescent="0.25">
      <c r="A83" s="217"/>
      <c r="B83" s="217"/>
      <c r="D83" s="217"/>
      <c r="N83" s="159"/>
      <c r="O83" s="159"/>
      <c r="P83" s="159"/>
      <c r="Q83" s="156"/>
    </row>
    <row r="84" spans="1:17" x14ac:dyDescent="0.25">
      <c r="A84" s="217"/>
      <c r="B84" s="217"/>
      <c r="D84" s="217"/>
      <c r="N84" s="159"/>
      <c r="O84" s="159"/>
      <c r="P84" s="159"/>
      <c r="Q84" s="156"/>
    </row>
    <row r="85" spans="1:17" x14ac:dyDescent="0.25">
      <c r="A85" s="217"/>
      <c r="B85" s="217"/>
      <c r="D85" s="217"/>
      <c r="N85" s="159"/>
      <c r="O85" s="159"/>
      <c r="P85" s="159"/>
      <c r="Q85" s="156"/>
    </row>
    <row r="86" spans="1:17" x14ac:dyDescent="0.25">
      <c r="A86" s="217"/>
      <c r="B86" s="217"/>
      <c r="D86" s="217"/>
      <c r="N86" s="159"/>
      <c r="O86" s="159"/>
      <c r="P86" s="159"/>
      <c r="Q86" s="156"/>
    </row>
    <row r="87" spans="1:17" ht="15.75" thickBot="1" x14ac:dyDescent="0.3">
      <c r="A87" s="217"/>
      <c r="B87" s="217"/>
      <c r="D87" s="217"/>
      <c r="N87" s="159"/>
      <c r="O87" s="159"/>
      <c r="P87" s="159"/>
      <c r="Q87" s="156"/>
    </row>
    <row r="88" spans="1:17" x14ac:dyDescent="0.25">
      <c r="A88" s="746" t="s">
        <v>175</v>
      </c>
      <c r="B88" s="747"/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8"/>
      <c r="Q88" s="156"/>
    </row>
    <row r="89" spans="1:17" x14ac:dyDescent="0.25">
      <c r="A89" s="761" t="s">
        <v>33</v>
      </c>
      <c r="B89" s="762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3"/>
      <c r="Q89" s="156"/>
    </row>
    <row r="90" spans="1:17" ht="15.75" x14ac:dyDescent="0.3">
      <c r="A90" s="230"/>
      <c r="O90" s="283" t="s">
        <v>157</v>
      </c>
      <c r="P90" s="232"/>
      <c r="Q90" s="156"/>
    </row>
    <row r="91" spans="1:17" x14ac:dyDescent="0.25">
      <c r="A91" s="230"/>
      <c r="P91" s="232"/>
      <c r="Q91" s="156"/>
    </row>
    <row r="92" spans="1:17" x14ac:dyDescent="0.25">
      <c r="A92" s="294" t="s">
        <v>564</v>
      </c>
      <c r="N92" s="295" t="s">
        <v>226</v>
      </c>
      <c r="P92" s="232"/>
      <c r="Q92" s="156"/>
    </row>
    <row r="93" spans="1:17" x14ac:dyDescent="0.25">
      <c r="A93" s="294" t="s">
        <v>565</v>
      </c>
      <c r="N93" s="295" t="s">
        <v>1</v>
      </c>
      <c r="P93" s="232"/>
      <c r="Q93" s="156"/>
    </row>
    <row r="94" spans="1:17" x14ac:dyDescent="0.25">
      <c r="A94" s="294" t="str">
        <f>+A8</f>
        <v>MES: DICIEMBRE</v>
      </c>
      <c r="N94" s="295" t="s">
        <v>2</v>
      </c>
      <c r="P94" s="232"/>
      <c r="Q94" s="156"/>
    </row>
    <row r="95" spans="1:17" ht="15.75" thickBot="1" x14ac:dyDescent="0.3">
      <c r="A95" s="297" t="str">
        <f>Hoja1!B9</f>
        <v>AÑO : 2022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 t="s">
        <v>3</v>
      </c>
      <c r="O95" s="297"/>
      <c r="P95" s="537"/>
      <c r="Q95" s="156"/>
    </row>
    <row r="96" spans="1:17" ht="15.75" thickBot="1" x14ac:dyDescent="0.3">
      <c r="A96" s="217"/>
      <c r="B96" s="217"/>
      <c r="D96" s="217"/>
      <c r="N96" s="159"/>
      <c r="O96" s="159"/>
      <c r="P96" s="159"/>
      <c r="Q96" s="156"/>
    </row>
    <row r="97" spans="1:17" ht="15.75" thickBot="1" x14ac:dyDescent="0.3">
      <c r="A97" s="767" t="s">
        <v>28</v>
      </c>
      <c r="B97" s="768"/>
      <c r="C97" s="768"/>
      <c r="D97" s="768"/>
      <c r="E97" s="768"/>
      <c r="F97" s="768"/>
      <c r="G97" s="768"/>
      <c r="H97" s="768"/>
      <c r="I97" s="768"/>
      <c r="J97" s="768"/>
      <c r="K97" s="768"/>
      <c r="L97" s="540"/>
      <c r="M97" s="540"/>
      <c r="N97" s="770" t="s">
        <v>32</v>
      </c>
      <c r="O97" s="752"/>
      <c r="P97" s="771"/>
      <c r="Q97" s="156"/>
    </row>
    <row r="98" spans="1:17" x14ac:dyDescent="0.25">
      <c r="A98" s="811" t="s">
        <v>9</v>
      </c>
      <c r="B98" s="812"/>
      <c r="C98" s="812"/>
      <c r="D98" s="812"/>
      <c r="E98" s="812"/>
      <c r="F98" s="812"/>
      <c r="G98" s="812"/>
      <c r="H98" s="552"/>
      <c r="I98" s="762" t="s">
        <v>27</v>
      </c>
      <c r="J98" s="762"/>
      <c r="K98" s="762"/>
      <c r="L98" s="752"/>
      <c r="M98" s="772"/>
      <c r="N98" s="438" t="s">
        <v>29</v>
      </c>
      <c r="O98" s="439" t="s">
        <v>30</v>
      </c>
      <c r="P98" s="440" t="s">
        <v>31</v>
      </c>
      <c r="Q98" s="156"/>
    </row>
    <row r="99" spans="1:17" x14ac:dyDescent="0.25">
      <c r="A99" s="264"/>
      <c r="B99" s="265" t="s">
        <v>19</v>
      </c>
      <c r="C99" s="266"/>
      <c r="D99" s="265"/>
      <c r="E99" s="266"/>
      <c r="F99" s="265"/>
      <c r="G99" s="266"/>
      <c r="H99" s="265"/>
      <c r="I99" s="356"/>
      <c r="J99" s="265"/>
      <c r="K99" s="265"/>
      <c r="L99" s="265"/>
      <c r="M99" s="543"/>
      <c r="N99" s="237"/>
      <c r="O99" s="238"/>
      <c r="P99" s="239"/>
      <c r="Q99" s="156"/>
    </row>
    <row r="100" spans="1:17" ht="15.75" thickBot="1" x14ac:dyDescent="0.3">
      <c r="A100" s="240" t="s">
        <v>18</v>
      </c>
      <c r="B100" s="241" t="s">
        <v>18</v>
      </c>
      <c r="C100" s="242" t="s">
        <v>20</v>
      </c>
      <c r="D100" s="241" t="s">
        <v>21</v>
      </c>
      <c r="E100" s="242" t="s">
        <v>22</v>
      </c>
      <c r="F100" s="241" t="s">
        <v>23</v>
      </c>
      <c r="G100" s="241" t="s">
        <v>24</v>
      </c>
      <c r="H100" s="242"/>
      <c r="I100" s="241" t="s">
        <v>25</v>
      </c>
      <c r="J100" s="241" t="s">
        <v>4</v>
      </c>
      <c r="K100" s="241" t="s">
        <v>26</v>
      </c>
      <c r="L100" s="241" t="s">
        <v>155</v>
      </c>
      <c r="M100" s="549"/>
      <c r="N100" s="457" t="s">
        <v>11</v>
      </c>
      <c r="O100" s="245" t="s">
        <v>12</v>
      </c>
      <c r="P100" s="246" t="s">
        <v>13</v>
      </c>
      <c r="Q100" s="156"/>
    </row>
    <row r="101" spans="1:17" hidden="1" x14ac:dyDescent="0.25">
      <c r="A101" s="358"/>
      <c r="B101" s="220"/>
      <c r="C101" s="216"/>
      <c r="D101" s="220"/>
      <c r="E101" s="216"/>
      <c r="F101" s="216"/>
      <c r="G101" s="219"/>
      <c r="H101" s="216"/>
      <c r="I101" s="274"/>
      <c r="J101" s="216"/>
      <c r="K101" s="216"/>
      <c r="L101" s="216"/>
      <c r="M101" s="216"/>
      <c r="N101" s="71"/>
      <c r="O101" s="166"/>
      <c r="P101" s="168"/>
      <c r="Q101" s="156"/>
    </row>
    <row r="102" spans="1:17" hidden="1" x14ac:dyDescent="0.25">
      <c r="A102" s="357" t="s">
        <v>38</v>
      </c>
      <c r="B102" s="225" t="s">
        <v>36</v>
      </c>
      <c r="C102" s="224"/>
      <c r="D102" s="225" t="s">
        <v>35</v>
      </c>
      <c r="E102" s="224"/>
      <c r="F102" s="224">
        <v>331</v>
      </c>
      <c r="G102" s="219">
        <v>9998</v>
      </c>
      <c r="H102" s="216"/>
      <c r="I102" s="275">
        <v>4</v>
      </c>
      <c r="J102" s="224"/>
      <c r="K102" s="216"/>
      <c r="L102" s="216"/>
      <c r="M102" s="216"/>
      <c r="N102" s="159"/>
      <c r="O102" s="172">
        <f>+O103</f>
        <v>0</v>
      </c>
      <c r="P102" s="66">
        <f>+P103</f>
        <v>0</v>
      </c>
      <c r="Q102" s="156"/>
    </row>
    <row r="103" spans="1:17" hidden="1" x14ac:dyDescent="0.25">
      <c r="A103" s="358"/>
      <c r="B103" s="220"/>
      <c r="C103" s="216"/>
      <c r="D103" s="220"/>
      <c r="E103" s="216"/>
      <c r="F103" s="216"/>
      <c r="G103" s="219"/>
      <c r="H103" s="216"/>
      <c r="I103" s="275"/>
      <c r="J103" s="224">
        <v>43</v>
      </c>
      <c r="K103" s="216"/>
      <c r="L103" s="216"/>
      <c r="M103" s="216"/>
      <c r="N103" s="159"/>
      <c r="O103" s="172">
        <f>+O104</f>
        <v>0</v>
      </c>
      <c r="P103" s="66">
        <f>+P104</f>
        <v>0</v>
      </c>
      <c r="Q103" s="156"/>
    </row>
    <row r="104" spans="1:17" hidden="1" x14ac:dyDescent="0.25">
      <c r="A104" s="358"/>
      <c r="B104" s="220"/>
      <c r="C104" s="216"/>
      <c r="D104" s="220"/>
      <c r="E104" s="216"/>
      <c r="F104" s="216"/>
      <c r="G104" s="219"/>
      <c r="H104" s="216"/>
      <c r="I104" s="274"/>
      <c r="J104" s="216"/>
      <c r="K104" s="216">
        <v>432</v>
      </c>
      <c r="L104" s="216"/>
      <c r="M104" s="216"/>
      <c r="N104" s="159"/>
      <c r="O104" s="166"/>
      <c r="P104" s="168"/>
      <c r="Q104" s="156"/>
    </row>
    <row r="105" spans="1:17" hidden="1" x14ac:dyDescent="0.25">
      <c r="A105" s="358"/>
      <c r="B105" s="220"/>
      <c r="C105" s="216"/>
      <c r="D105" s="220"/>
      <c r="E105" s="216"/>
      <c r="F105" s="216"/>
      <c r="G105" s="219"/>
      <c r="H105" s="216"/>
      <c r="I105" s="274"/>
      <c r="J105" s="216"/>
      <c r="K105" s="274"/>
      <c r="L105" s="216"/>
      <c r="M105" s="216"/>
      <c r="N105" s="159"/>
      <c r="O105" s="166"/>
      <c r="P105" s="168"/>
      <c r="Q105" s="156"/>
    </row>
    <row r="106" spans="1:17" x14ac:dyDescent="0.25">
      <c r="A106" s="357" t="s">
        <v>38</v>
      </c>
      <c r="B106" s="225" t="s">
        <v>36</v>
      </c>
      <c r="C106" s="224"/>
      <c r="D106" s="225" t="s">
        <v>35</v>
      </c>
      <c r="E106" s="224"/>
      <c r="F106" s="224" t="s">
        <v>179</v>
      </c>
      <c r="G106" s="223">
        <v>4</v>
      </c>
      <c r="H106" s="224"/>
      <c r="I106" s="275">
        <v>1</v>
      </c>
      <c r="J106" s="224">
        <v>1</v>
      </c>
      <c r="K106" s="275">
        <v>5</v>
      </c>
      <c r="L106" s="224"/>
      <c r="M106" s="224" t="s">
        <v>186</v>
      </c>
      <c r="N106" s="67"/>
      <c r="O106" s="172">
        <f>+O107+O111+O113</f>
        <v>2396801982.6300001</v>
      </c>
      <c r="P106" s="66"/>
      <c r="Q106" s="156"/>
    </row>
    <row r="107" spans="1:17" x14ac:dyDescent="0.25">
      <c r="A107" s="357"/>
      <c r="B107" s="342"/>
      <c r="C107" s="275"/>
      <c r="D107" s="225"/>
      <c r="E107" s="224"/>
      <c r="F107" s="222"/>
      <c r="G107" s="223"/>
      <c r="H107" s="224"/>
      <c r="I107" s="222"/>
      <c r="J107" s="224"/>
      <c r="K107" s="275"/>
      <c r="L107" s="275"/>
      <c r="M107" s="224" t="s">
        <v>187</v>
      </c>
      <c r="N107" s="67"/>
      <c r="O107" s="161">
        <f>+O109+O110+O108</f>
        <v>2355345951.6300001</v>
      </c>
      <c r="P107" s="359"/>
      <c r="Q107" s="156"/>
    </row>
    <row r="108" spans="1:17" x14ac:dyDescent="0.25">
      <c r="A108" s="357"/>
      <c r="B108" s="342"/>
      <c r="C108" s="275"/>
      <c r="D108" s="225"/>
      <c r="E108" s="224"/>
      <c r="F108" s="222"/>
      <c r="G108" s="560" t="s">
        <v>43</v>
      </c>
      <c r="H108" s="561"/>
      <c r="I108" s="222"/>
      <c r="J108" s="224"/>
      <c r="K108" s="562"/>
      <c r="L108" s="342" t="s">
        <v>35</v>
      </c>
      <c r="M108" s="216" t="s">
        <v>90</v>
      </c>
      <c r="N108" s="67"/>
      <c r="O108" s="431">
        <f>Hoja1!I22</f>
        <v>166666666.63</v>
      </c>
      <c r="P108" s="359"/>
      <c r="Q108" s="156"/>
    </row>
    <row r="109" spans="1:17" x14ac:dyDescent="0.25">
      <c r="A109" s="357"/>
      <c r="B109" s="342"/>
      <c r="C109" s="275"/>
      <c r="D109" s="225"/>
      <c r="E109" s="224"/>
      <c r="F109" s="222"/>
      <c r="G109" s="223">
        <v>9995</v>
      </c>
      <c r="H109" s="224"/>
      <c r="I109" s="222"/>
      <c r="J109" s="224"/>
      <c r="K109" s="344"/>
      <c r="L109" s="342" t="s">
        <v>35</v>
      </c>
      <c r="M109" s="216" t="s">
        <v>184</v>
      </c>
      <c r="N109" s="159"/>
      <c r="O109" s="431">
        <f>+Hoja1!I29</f>
        <v>250553475</v>
      </c>
      <c r="P109" s="359"/>
      <c r="Q109" s="156"/>
    </row>
    <row r="110" spans="1:17" x14ac:dyDescent="0.25">
      <c r="A110" s="357"/>
      <c r="B110" s="342"/>
      <c r="C110" s="275"/>
      <c r="D110" s="225"/>
      <c r="E110" s="224"/>
      <c r="F110" s="222"/>
      <c r="G110" s="223">
        <v>9998</v>
      </c>
      <c r="H110" s="224"/>
      <c r="I110" s="222"/>
      <c r="J110" s="216"/>
      <c r="K110" s="344"/>
      <c r="L110" s="342" t="s">
        <v>35</v>
      </c>
      <c r="M110" s="216" t="s">
        <v>90</v>
      </c>
      <c r="N110" s="159"/>
      <c r="O110" s="162">
        <f>ROUND(Calculo!E259-O109-O108,0)</f>
        <v>1938125810</v>
      </c>
      <c r="P110" s="168"/>
      <c r="Q110" s="156"/>
    </row>
    <row r="111" spans="1:17" hidden="1" x14ac:dyDescent="0.25">
      <c r="A111" s="357"/>
      <c r="B111" s="342"/>
      <c r="C111" s="275"/>
      <c r="D111" s="225"/>
      <c r="E111" s="224"/>
      <c r="F111" s="222"/>
      <c r="G111" s="223"/>
      <c r="H111" s="224"/>
      <c r="I111" s="222"/>
      <c r="J111" s="216"/>
      <c r="K111" s="217"/>
      <c r="L111" s="342"/>
      <c r="M111" s="216" t="s">
        <v>90</v>
      </c>
      <c r="N111" s="159"/>
      <c r="O111" s="162">
        <f>Calculo!E260</f>
        <v>0</v>
      </c>
      <c r="P111" s="168"/>
      <c r="Q111" s="156"/>
    </row>
    <row r="112" spans="1:17" x14ac:dyDescent="0.25">
      <c r="A112" s="357"/>
      <c r="B112" s="342"/>
      <c r="C112" s="275"/>
      <c r="D112" s="225"/>
      <c r="E112" s="224"/>
      <c r="F112" s="222"/>
      <c r="G112" s="223">
        <v>9998</v>
      </c>
      <c r="H112" s="224">
        <v>2</v>
      </c>
      <c r="I112" s="222">
        <v>2</v>
      </c>
      <c r="J112" s="224">
        <v>8</v>
      </c>
      <c r="K112" s="222">
        <v>9</v>
      </c>
      <c r="L112" s="342"/>
      <c r="M112" s="224" t="s">
        <v>224</v>
      </c>
      <c r="N112" s="67"/>
      <c r="O112" s="163">
        <f>+O113</f>
        <v>41456031</v>
      </c>
      <c r="P112" s="66"/>
      <c r="Q112" s="156"/>
    </row>
    <row r="113" spans="1:17" x14ac:dyDescent="0.25">
      <c r="A113" s="357"/>
      <c r="B113" s="342"/>
      <c r="C113" s="275"/>
      <c r="D113" s="225"/>
      <c r="E113" s="224"/>
      <c r="F113" s="222"/>
      <c r="G113" s="223">
        <v>9998</v>
      </c>
      <c r="H113" s="224">
        <v>2</v>
      </c>
      <c r="I113" s="222">
        <v>2</v>
      </c>
      <c r="J113" s="223">
        <v>8</v>
      </c>
      <c r="K113" s="219">
        <v>9</v>
      </c>
      <c r="L113" s="342" t="s">
        <v>35</v>
      </c>
      <c r="M113" s="216" t="s">
        <v>595</v>
      </c>
      <c r="N113" s="159"/>
      <c r="O113" s="162">
        <f>ROUND(Calculo!E281,0)</f>
        <v>41456031</v>
      </c>
      <c r="P113" s="66"/>
      <c r="Q113" s="156"/>
    </row>
    <row r="114" spans="1:17" x14ac:dyDescent="0.25">
      <c r="A114" s="357"/>
      <c r="B114" s="342"/>
      <c r="C114" s="275"/>
      <c r="D114" s="225"/>
      <c r="E114" s="224"/>
      <c r="F114" s="222"/>
      <c r="G114" s="223"/>
      <c r="H114" s="224"/>
      <c r="I114" s="222"/>
      <c r="J114" s="224"/>
      <c r="K114" s="274"/>
      <c r="L114" s="274"/>
      <c r="M114" s="216"/>
      <c r="N114" s="159"/>
      <c r="O114" s="162"/>
      <c r="P114" s="168"/>
      <c r="Q114" s="156"/>
    </row>
    <row r="115" spans="1:17" x14ac:dyDescent="0.25">
      <c r="A115" s="357"/>
      <c r="B115" s="342"/>
      <c r="C115" s="275"/>
      <c r="D115" s="225"/>
      <c r="E115" s="224"/>
      <c r="F115" s="222"/>
      <c r="G115" s="223"/>
      <c r="H115" s="224"/>
      <c r="I115" s="222"/>
      <c r="J115" s="224"/>
      <c r="K115" s="275"/>
      <c r="L115" s="275"/>
      <c r="M115" s="224"/>
      <c r="N115" s="67"/>
      <c r="O115" s="172"/>
      <c r="P115" s="66"/>
      <c r="Q115" s="156"/>
    </row>
    <row r="116" spans="1:17" x14ac:dyDescent="0.25">
      <c r="A116" s="357"/>
      <c r="B116" s="342"/>
      <c r="C116" s="275"/>
      <c r="D116" s="225"/>
      <c r="E116" s="224"/>
      <c r="F116" s="222"/>
      <c r="G116" s="223"/>
      <c r="H116" s="224"/>
      <c r="I116" s="222"/>
      <c r="J116" s="224"/>
      <c r="K116" s="275"/>
      <c r="L116" s="275"/>
      <c r="M116" s="224"/>
      <c r="N116" s="67"/>
      <c r="O116" s="172"/>
      <c r="P116" s="66"/>
      <c r="Q116" s="156"/>
    </row>
    <row r="117" spans="1:17" x14ac:dyDescent="0.25">
      <c r="A117" s="357"/>
      <c r="B117" s="342"/>
      <c r="C117" s="275"/>
      <c r="D117" s="225"/>
      <c r="E117" s="224"/>
      <c r="F117" s="222"/>
      <c r="G117" s="223"/>
      <c r="H117" s="224"/>
      <c r="I117" s="222"/>
      <c r="J117" s="224"/>
      <c r="K117" s="275"/>
      <c r="L117" s="275"/>
      <c r="M117" s="224"/>
      <c r="N117" s="67"/>
      <c r="O117" s="172"/>
      <c r="P117" s="66"/>
      <c r="Q117" s="156"/>
    </row>
    <row r="118" spans="1:17" x14ac:dyDescent="0.25">
      <c r="A118" s="357"/>
      <c r="B118" s="342"/>
      <c r="C118" s="275"/>
      <c r="D118" s="225"/>
      <c r="E118" s="224"/>
      <c r="F118" s="222"/>
      <c r="G118" s="223"/>
      <c r="H118" s="224"/>
      <c r="I118" s="222"/>
      <c r="J118" s="224"/>
      <c r="K118" s="275"/>
      <c r="L118" s="275"/>
      <c r="M118" s="224"/>
      <c r="N118" s="67"/>
      <c r="O118" s="172"/>
      <c r="P118" s="66"/>
      <c r="Q118" s="156"/>
    </row>
    <row r="119" spans="1:17" x14ac:dyDescent="0.25">
      <c r="A119" s="357"/>
      <c r="B119" s="342"/>
      <c r="C119" s="275"/>
      <c r="D119" s="225"/>
      <c r="E119" s="224"/>
      <c r="F119" s="222"/>
      <c r="G119" s="223"/>
      <c r="H119" s="224"/>
      <c r="I119" s="222"/>
      <c r="J119" s="224"/>
      <c r="K119" s="275"/>
      <c r="L119" s="275"/>
      <c r="M119" s="224"/>
      <c r="N119" s="67"/>
      <c r="O119" s="172"/>
      <c r="P119" s="66"/>
      <c r="Q119" s="156"/>
    </row>
    <row r="120" spans="1:17" x14ac:dyDescent="0.25">
      <c r="A120" s="357"/>
      <c r="B120" s="342"/>
      <c r="C120" s="275"/>
      <c r="D120" s="225"/>
      <c r="E120" s="224"/>
      <c r="F120" s="222"/>
      <c r="G120" s="223"/>
      <c r="H120" s="224"/>
      <c r="I120" s="222"/>
      <c r="J120" s="224"/>
      <c r="K120" s="275"/>
      <c r="L120" s="275"/>
      <c r="M120" s="224"/>
      <c r="N120" s="67"/>
      <c r="O120" s="172"/>
      <c r="P120" s="66"/>
      <c r="Q120" s="156"/>
    </row>
    <row r="121" spans="1:17" x14ac:dyDescent="0.25">
      <c r="A121" s="357"/>
      <c r="B121" s="342"/>
      <c r="C121" s="275"/>
      <c r="D121" s="225"/>
      <c r="E121" s="224"/>
      <c r="F121" s="222"/>
      <c r="G121" s="223"/>
      <c r="H121" s="224"/>
      <c r="I121" s="222"/>
      <c r="J121" s="224"/>
      <c r="K121" s="275"/>
      <c r="L121" s="275"/>
      <c r="M121" s="224"/>
      <c r="N121" s="67"/>
      <c r="O121" s="172"/>
      <c r="P121" s="66"/>
      <c r="Q121" s="156"/>
    </row>
    <row r="122" spans="1:17" x14ac:dyDescent="0.25">
      <c r="A122" s="357"/>
      <c r="B122" s="342"/>
      <c r="C122" s="275"/>
      <c r="D122" s="225"/>
      <c r="E122" s="224"/>
      <c r="F122" s="222"/>
      <c r="G122" s="223"/>
      <c r="H122" s="224"/>
      <c r="I122" s="222"/>
      <c r="J122" s="224"/>
      <c r="K122" s="275"/>
      <c r="L122" s="275"/>
      <c r="M122" s="224"/>
      <c r="N122" s="67"/>
      <c r="O122" s="172"/>
      <c r="P122" s="66"/>
      <c r="Q122" s="156"/>
    </row>
    <row r="123" spans="1:17" x14ac:dyDescent="0.25">
      <c r="A123" s="357"/>
      <c r="B123" s="342"/>
      <c r="C123" s="275"/>
      <c r="D123" s="225"/>
      <c r="E123" s="224"/>
      <c r="F123" s="222"/>
      <c r="G123" s="223"/>
      <c r="H123" s="224"/>
      <c r="I123" s="222"/>
      <c r="J123" s="224"/>
      <c r="K123" s="275"/>
      <c r="L123" s="275"/>
      <c r="M123" s="224"/>
      <c r="N123" s="67"/>
      <c r="O123" s="172"/>
      <c r="P123" s="66"/>
      <c r="Q123" s="156"/>
    </row>
    <row r="124" spans="1:17" x14ac:dyDescent="0.25">
      <c r="A124" s="357"/>
      <c r="B124" s="342"/>
      <c r="C124" s="275"/>
      <c r="D124" s="225"/>
      <c r="E124" s="224"/>
      <c r="F124" s="222"/>
      <c r="G124" s="223"/>
      <c r="H124" s="224"/>
      <c r="I124" s="222"/>
      <c r="J124" s="224"/>
      <c r="K124" s="275"/>
      <c r="L124" s="275"/>
      <c r="M124" s="224"/>
      <c r="N124" s="67"/>
      <c r="O124" s="172"/>
      <c r="P124" s="66"/>
      <c r="Q124" s="156"/>
    </row>
    <row r="125" spans="1:17" x14ac:dyDescent="0.25">
      <c r="A125" s="357"/>
      <c r="B125" s="342"/>
      <c r="C125" s="275"/>
      <c r="D125" s="225"/>
      <c r="E125" s="224"/>
      <c r="F125" s="222"/>
      <c r="G125" s="223"/>
      <c r="H125" s="224"/>
      <c r="I125" s="222"/>
      <c r="J125" s="224"/>
      <c r="K125" s="275"/>
      <c r="L125" s="275"/>
      <c r="M125" s="224"/>
      <c r="N125" s="67"/>
      <c r="O125" s="172"/>
      <c r="P125" s="66"/>
      <c r="Q125" s="156"/>
    </row>
    <row r="126" spans="1:17" x14ac:dyDescent="0.25">
      <c r="A126" s="357"/>
      <c r="B126" s="342"/>
      <c r="C126" s="275"/>
      <c r="D126" s="225"/>
      <c r="E126" s="224"/>
      <c r="F126" s="222"/>
      <c r="G126" s="223"/>
      <c r="H126" s="224"/>
      <c r="I126" s="222"/>
      <c r="J126" s="224"/>
      <c r="K126" s="275"/>
      <c r="L126" s="275"/>
      <c r="M126" s="224"/>
      <c r="N126" s="67"/>
      <c r="O126" s="172"/>
      <c r="P126" s="66"/>
      <c r="Q126" s="156"/>
    </row>
    <row r="127" spans="1:17" x14ac:dyDescent="0.25">
      <c r="A127" s="357"/>
      <c r="B127" s="342"/>
      <c r="C127" s="275"/>
      <c r="D127" s="225"/>
      <c r="E127" s="224"/>
      <c r="F127" s="222"/>
      <c r="G127" s="223"/>
      <c r="H127" s="224"/>
      <c r="I127" s="222"/>
      <c r="J127" s="224"/>
      <c r="K127" s="275"/>
      <c r="L127" s="275"/>
      <c r="M127" s="224"/>
      <c r="N127" s="67"/>
      <c r="O127" s="172"/>
      <c r="P127" s="66"/>
      <c r="Q127" s="156"/>
    </row>
    <row r="128" spans="1:17" x14ac:dyDescent="0.25">
      <c r="A128" s="357"/>
      <c r="B128" s="342"/>
      <c r="C128" s="275"/>
      <c r="D128" s="225"/>
      <c r="E128" s="224"/>
      <c r="F128" s="222"/>
      <c r="G128" s="223"/>
      <c r="H128" s="224"/>
      <c r="I128" s="222"/>
      <c r="J128" s="224"/>
      <c r="K128" s="275"/>
      <c r="L128" s="275"/>
      <c r="M128" s="224"/>
      <c r="N128" s="67"/>
      <c r="O128" s="172"/>
      <c r="P128" s="66"/>
      <c r="Q128" s="156"/>
    </row>
    <row r="129" spans="1:17" x14ac:dyDescent="0.25">
      <c r="A129" s="357"/>
      <c r="B129" s="342"/>
      <c r="C129" s="275"/>
      <c r="D129" s="225"/>
      <c r="E129" s="224"/>
      <c r="F129" s="222"/>
      <c r="G129" s="223"/>
      <c r="H129" s="224"/>
      <c r="I129" s="222"/>
      <c r="J129" s="224"/>
      <c r="K129" s="275"/>
      <c r="L129" s="275"/>
      <c r="M129" s="224"/>
      <c r="N129" s="67"/>
      <c r="O129" s="172"/>
      <c r="P129" s="66"/>
      <c r="Q129" s="156"/>
    </row>
    <row r="130" spans="1:17" x14ac:dyDescent="0.25">
      <c r="A130" s="357"/>
      <c r="B130" s="342"/>
      <c r="C130" s="275"/>
      <c r="D130" s="225"/>
      <c r="E130" s="224"/>
      <c r="F130" s="222"/>
      <c r="G130" s="223"/>
      <c r="H130" s="224"/>
      <c r="I130" s="222"/>
      <c r="J130" s="224"/>
      <c r="K130" s="275"/>
      <c r="L130" s="275"/>
      <c r="M130" s="224"/>
      <c r="N130" s="67"/>
      <c r="O130" s="172"/>
      <c r="P130" s="66"/>
      <c r="Q130" s="156"/>
    </row>
    <row r="131" spans="1:17" x14ac:dyDescent="0.25">
      <c r="A131" s="357"/>
      <c r="B131" s="342"/>
      <c r="C131" s="275"/>
      <c r="D131" s="225"/>
      <c r="E131" s="224"/>
      <c r="F131" s="222"/>
      <c r="G131" s="223"/>
      <c r="H131" s="224"/>
      <c r="I131" s="222"/>
      <c r="J131" s="224"/>
      <c r="K131" s="275"/>
      <c r="L131" s="275"/>
      <c r="M131" s="224"/>
      <c r="N131" s="67"/>
      <c r="O131" s="172"/>
      <c r="P131" s="66"/>
      <c r="Q131" s="156"/>
    </row>
    <row r="132" spans="1:17" x14ac:dyDescent="0.25">
      <c r="A132" s="357"/>
      <c r="B132" s="342"/>
      <c r="C132" s="275"/>
      <c r="D132" s="225"/>
      <c r="E132" s="224"/>
      <c r="F132" s="222"/>
      <c r="G132" s="223"/>
      <c r="H132" s="224"/>
      <c r="I132" s="222"/>
      <c r="J132" s="224"/>
      <c r="K132" s="275"/>
      <c r="L132" s="275"/>
      <c r="M132" s="224"/>
      <c r="N132" s="67"/>
      <c r="O132" s="172"/>
      <c r="P132" s="66"/>
      <c r="Q132" s="156"/>
    </row>
    <row r="133" spans="1:17" x14ac:dyDescent="0.25">
      <c r="A133" s="357"/>
      <c r="B133" s="342"/>
      <c r="C133" s="275"/>
      <c r="D133" s="225"/>
      <c r="E133" s="224"/>
      <c r="F133" s="222"/>
      <c r="G133" s="223"/>
      <c r="H133" s="224"/>
      <c r="I133" s="222"/>
      <c r="J133" s="224"/>
      <c r="K133" s="275"/>
      <c r="L133" s="275"/>
      <c r="M133" s="224"/>
      <c r="N133" s="67"/>
      <c r="O133" s="172"/>
      <c r="P133" s="66"/>
      <c r="Q133" s="156"/>
    </row>
    <row r="134" spans="1:17" x14ac:dyDescent="0.25">
      <c r="A134" s="358"/>
      <c r="B134" s="344"/>
      <c r="C134" s="274"/>
      <c r="D134" s="220"/>
      <c r="E134" s="216"/>
      <c r="G134" s="219"/>
      <c r="H134" s="216"/>
      <c r="J134" s="224"/>
      <c r="K134" s="275"/>
      <c r="L134" s="275"/>
      <c r="M134" s="224"/>
      <c r="N134" s="67"/>
      <c r="O134" s="161"/>
      <c r="P134" s="359"/>
      <c r="Q134" s="156"/>
    </row>
    <row r="135" spans="1:17" x14ac:dyDescent="0.25">
      <c r="A135" s="220"/>
      <c r="B135" s="220"/>
      <c r="C135" s="216"/>
      <c r="D135" s="220"/>
      <c r="E135" s="216"/>
      <c r="F135" s="216"/>
      <c r="G135" s="219"/>
      <c r="H135" s="216"/>
      <c r="I135" s="274"/>
      <c r="J135" s="216"/>
      <c r="K135" s="274"/>
      <c r="L135" s="274"/>
      <c r="N135" s="166"/>
      <c r="O135" s="431"/>
      <c r="P135" s="359"/>
      <c r="Q135" s="156"/>
    </row>
    <row r="136" spans="1:17" ht="15.75" thickBot="1" x14ac:dyDescent="0.3">
      <c r="A136" s="256"/>
      <c r="B136" s="257"/>
      <c r="C136" s="258"/>
      <c r="D136" s="259"/>
      <c r="E136" s="258"/>
      <c r="F136" s="258"/>
      <c r="G136" s="228"/>
      <c r="H136" s="258"/>
      <c r="I136" s="228"/>
      <c r="J136" s="260"/>
      <c r="K136" s="258"/>
      <c r="L136" s="258"/>
      <c r="M136" s="258"/>
      <c r="N136" s="151"/>
      <c r="O136" s="276"/>
      <c r="P136" s="229"/>
      <c r="Q136" s="156"/>
    </row>
    <row r="137" spans="1:17" ht="15.75" thickBot="1" x14ac:dyDescent="0.3">
      <c r="A137" s="277"/>
      <c r="B137" s="278"/>
      <c r="C137" s="279"/>
      <c r="D137" s="280"/>
      <c r="E137" s="279"/>
      <c r="F137" s="279"/>
      <c r="G137" s="749" t="s">
        <v>15</v>
      </c>
      <c r="H137" s="749"/>
      <c r="I137" s="749"/>
      <c r="J137" s="749"/>
      <c r="K137" s="750"/>
      <c r="L137" s="542"/>
      <c r="M137" s="542"/>
      <c r="N137" s="281"/>
      <c r="O137" s="459">
        <f>O15+O36+O70+O106</f>
        <v>2494517981.9500003</v>
      </c>
      <c r="P137" s="429"/>
      <c r="Q137" s="156"/>
    </row>
    <row r="138" spans="1:17" ht="15.75" thickTop="1" x14ac:dyDescent="0.25">
      <c r="N138" s="213"/>
      <c r="O138" s="213"/>
      <c r="P138" s="213"/>
      <c r="Q138" s="156"/>
    </row>
    <row r="139" spans="1:17" x14ac:dyDescent="0.25">
      <c r="N139" s="213"/>
      <c r="O139" s="213"/>
      <c r="P139" s="213"/>
      <c r="Q139" s="156"/>
    </row>
    <row r="140" spans="1:17" x14ac:dyDescent="0.25">
      <c r="N140" s="213"/>
      <c r="O140" s="213"/>
      <c r="P140" s="213"/>
      <c r="Q140" s="156"/>
    </row>
    <row r="141" spans="1:17" x14ac:dyDescent="0.25">
      <c r="N141" s="213"/>
      <c r="O141" s="213"/>
      <c r="P141" s="213"/>
      <c r="Q141" s="156"/>
    </row>
    <row r="142" spans="1:17" x14ac:dyDescent="0.25">
      <c r="N142" s="213"/>
      <c r="O142" s="213"/>
      <c r="P142" s="213"/>
      <c r="Q142" s="156"/>
    </row>
    <row r="143" spans="1:17" x14ac:dyDescent="0.25">
      <c r="N143" s="213"/>
      <c r="O143" s="213"/>
      <c r="P143" s="213"/>
      <c r="Q143" s="156"/>
    </row>
    <row r="144" spans="1:17" x14ac:dyDescent="0.25">
      <c r="N144" s="213"/>
      <c r="O144" s="213"/>
      <c r="P144" s="213"/>
      <c r="Q144" s="156"/>
    </row>
    <row r="145" spans="1:17" x14ac:dyDescent="0.25">
      <c r="N145" s="213"/>
      <c r="O145" s="213"/>
      <c r="P145" s="213"/>
      <c r="Q145" s="156"/>
    </row>
    <row r="146" spans="1:17" x14ac:dyDescent="0.25">
      <c r="N146" s="213"/>
      <c r="O146" s="213"/>
      <c r="P146" s="213"/>
      <c r="Q146" s="156"/>
    </row>
    <row r="147" spans="1:17" x14ac:dyDescent="0.25">
      <c r="A147" s="810" t="str">
        <f>+'Hoja2 - F'!A137</f>
        <v>LIC.  MARICELA CHECO</v>
      </c>
      <c r="B147" s="810"/>
      <c r="C147" s="810"/>
      <c r="D147" s="810"/>
      <c r="E147" s="810"/>
      <c r="F147" s="810"/>
      <c r="G147" s="810"/>
      <c r="H147" s="810"/>
      <c r="I147" s="810"/>
      <c r="J147" s="810"/>
      <c r="K147" s="810"/>
      <c r="L147" s="810"/>
      <c r="M147" s="810" t="str">
        <f>+'Hoja2 - F'!L137</f>
        <v xml:space="preserve">FERNANDO DURÁN </v>
      </c>
      <c r="N147" s="810"/>
      <c r="O147" s="810"/>
      <c r="P147" s="810"/>
    </row>
    <row r="148" spans="1:17" x14ac:dyDescent="0.25">
      <c r="A148" s="741" t="s">
        <v>210</v>
      </c>
      <c r="B148" s="741"/>
      <c r="C148" s="741"/>
      <c r="D148" s="741"/>
      <c r="E148" s="741"/>
      <c r="F148" s="741"/>
      <c r="G148" s="741"/>
      <c r="H148" s="741"/>
      <c r="I148" s="741"/>
      <c r="J148" s="741"/>
      <c r="K148" s="741"/>
      <c r="L148" s="741"/>
      <c r="M148" s="741" t="s">
        <v>213</v>
      </c>
      <c r="N148" s="741"/>
      <c r="O148" s="741"/>
      <c r="P148" s="741"/>
    </row>
    <row r="149" spans="1:17" x14ac:dyDescent="0.25">
      <c r="A149" s="742" t="str">
        <f>+'Hoja2 - F'!A139</f>
        <v xml:space="preserve">Contralor </v>
      </c>
      <c r="B149" s="742"/>
      <c r="C149" s="742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 t="str">
        <f>+'Hoja2 - F'!L139</f>
        <v>ADMINSTRADOR GENERAL</v>
      </c>
      <c r="N149" s="742"/>
      <c r="O149" s="742"/>
      <c r="P149" s="742"/>
    </row>
  </sheetData>
  <mergeCells count="20">
    <mergeCell ref="A2:P2"/>
    <mergeCell ref="A3:P3"/>
    <mergeCell ref="A11:K11"/>
    <mergeCell ref="N11:P11"/>
    <mergeCell ref="A12:G12"/>
    <mergeCell ref="I12:M12"/>
    <mergeCell ref="M13:M14"/>
    <mergeCell ref="I98:M98"/>
    <mergeCell ref="G137:K137"/>
    <mergeCell ref="A88:P88"/>
    <mergeCell ref="A89:P89"/>
    <mergeCell ref="A97:K97"/>
    <mergeCell ref="N97:P97"/>
    <mergeCell ref="A98:G98"/>
    <mergeCell ref="A149:L149"/>
    <mergeCell ref="M149:P149"/>
    <mergeCell ref="A148:L148"/>
    <mergeCell ref="A147:L147"/>
    <mergeCell ref="M147:P147"/>
    <mergeCell ref="M148:P148"/>
  </mergeCells>
  <phoneticPr fontId="0" type="noConversion"/>
  <pageMargins left="0.56999999999999995" right="0.33" top="0.25" bottom="0.49" header="0" footer="0"/>
  <pageSetup scale="60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2"/>
  <sheetViews>
    <sheetView topLeftCell="A44" zoomScaleNormal="100" workbookViewId="0">
      <selection activeCell="A65" sqref="A65:XFD65"/>
    </sheetView>
  </sheetViews>
  <sheetFormatPr defaultColWidth="11.42578125" defaultRowHeight="15" x14ac:dyDescent="0.25"/>
  <cols>
    <col min="1" max="1" width="5.140625" style="42" customWidth="1"/>
    <col min="2" max="2" width="5.28515625" style="42" customWidth="1"/>
    <col min="3" max="3" width="5" style="42" customWidth="1"/>
    <col min="4" max="4" width="8.7109375" style="42" customWidth="1"/>
    <col min="5" max="5" width="7.7109375" style="42" customWidth="1"/>
    <col min="6" max="6" width="5.85546875" style="42" customWidth="1"/>
    <col min="7" max="7" width="5.5703125" style="42" customWidth="1"/>
    <col min="8" max="8" width="4.140625" style="42" customWidth="1"/>
    <col min="9" max="9" width="6.5703125" style="42" customWidth="1"/>
    <col min="10" max="11" width="6.7109375" style="42" customWidth="1"/>
    <col min="12" max="12" width="41.85546875" style="42" customWidth="1"/>
    <col min="13" max="13" width="12.28515625" style="42" customWidth="1"/>
    <col min="14" max="14" width="14.140625" style="158" customWidth="1"/>
    <col min="15" max="15" width="12.5703125" style="42" customWidth="1"/>
    <col min="16" max="16" width="11.42578125" style="42"/>
    <col min="17" max="17" width="17.140625" style="42" customWidth="1"/>
    <col min="18" max="16384" width="11.42578125" style="42"/>
  </cols>
  <sheetData>
    <row r="1" spans="1:16" x14ac:dyDescent="0.25">
      <c r="A1" s="822" t="s">
        <v>191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4"/>
    </row>
    <row r="2" spans="1:16" x14ac:dyDescent="0.25">
      <c r="A2" s="825" t="s">
        <v>33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7"/>
    </row>
    <row r="3" spans="1:16" ht="15.75" x14ac:dyDescent="0.3">
      <c r="A3" s="563"/>
      <c r="M3" s="57"/>
      <c r="N3" s="283" t="s">
        <v>159</v>
      </c>
      <c r="O3" s="55"/>
    </row>
    <row r="4" spans="1:16" x14ac:dyDescent="0.25">
      <c r="A4" s="563"/>
      <c r="M4" s="57"/>
      <c r="N4" s="254"/>
      <c r="O4" s="55"/>
    </row>
    <row r="5" spans="1:16" x14ac:dyDescent="0.25">
      <c r="A5" s="564" t="s">
        <v>574</v>
      </c>
      <c r="M5" s="565" t="str">
        <f>+'Hoja4 - G'!M83</f>
        <v xml:space="preserve"> REGISTRO INTERNO DIGEPRES</v>
      </c>
      <c r="N5" s="254"/>
      <c r="O5" s="55"/>
    </row>
    <row r="6" spans="1:16" x14ac:dyDescent="0.25">
      <c r="A6" s="564" t="s">
        <v>575</v>
      </c>
      <c r="M6" s="565" t="s">
        <v>1</v>
      </c>
      <c r="N6" s="254"/>
      <c r="O6" s="55"/>
    </row>
    <row r="7" spans="1:16" x14ac:dyDescent="0.25">
      <c r="A7" s="564" t="str">
        <f>+'Hoja4 - G'!A8</f>
        <v>MES: DICIEMBRE</v>
      </c>
      <c r="M7" s="565" t="s">
        <v>2</v>
      </c>
      <c r="N7" s="254"/>
      <c r="O7" s="566"/>
    </row>
    <row r="8" spans="1:16" ht="15.75" thickBot="1" x14ac:dyDescent="0.3">
      <c r="A8" s="567" t="str">
        <f>Hoja1!B9</f>
        <v>AÑO : 2022</v>
      </c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 t="s">
        <v>3</v>
      </c>
      <c r="N8" s="297"/>
      <c r="O8" s="537"/>
    </row>
    <row r="9" spans="1:16" ht="15.75" thickBot="1" x14ac:dyDescent="0.3"/>
    <row r="10" spans="1:16" s="569" customFormat="1" x14ac:dyDescent="0.25">
      <c r="A10" s="828" t="s">
        <v>28</v>
      </c>
      <c r="B10" s="829"/>
      <c r="C10" s="829"/>
      <c r="D10" s="829"/>
      <c r="E10" s="829"/>
      <c r="F10" s="829"/>
      <c r="G10" s="829"/>
      <c r="H10" s="829"/>
      <c r="I10" s="829"/>
      <c r="J10" s="829"/>
      <c r="K10" s="568"/>
      <c r="L10" s="568"/>
      <c r="M10" s="830" t="s">
        <v>32</v>
      </c>
      <c r="N10" s="829"/>
      <c r="O10" s="831"/>
    </row>
    <row r="11" spans="1:16" s="569" customFormat="1" x14ac:dyDescent="0.25">
      <c r="A11" s="817" t="s">
        <v>9</v>
      </c>
      <c r="B11" s="818"/>
      <c r="C11" s="818"/>
      <c r="D11" s="818"/>
      <c r="E11" s="818"/>
      <c r="F11" s="818"/>
      <c r="G11" s="819"/>
      <c r="H11" s="832" t="s">
        <v>27</v>
      </c>
      <c r="I11" s="833"/>
      <c r="J11" s="833"/>
      <c r="K11" s="833"/>
      <c r="L11" s="834"/>
      <c r="M11" s="570" t="s">
        <v>29</v>
      </c>
      <c r="N11" s="442" t="s">
        <v>30</v>
      </c>
      <c r="O11" s="571" t="s">
        <v>31</v>
      </c>
    </row>
    <row r="12" spans="1:16" s="569" customFormat="1" x14ac:dyDescent="0.25">
      <c r="A12" s="572"/>
      <c r="B12" s="573" t="s">
        <v>19</v>
      </c>
      <c r="C12" s="574"/>
      <c r="D12" s="573"/>
      <c r="E12" s="574"/>
      <c r="F12" s="573"/>
      <c r="G12" s="574"/>
      <c r="H12" s="573"/>
      <c r="I12" s="573"/>
      <c r="J12" s="573"/>
      <c r="K12" s="573"/>
      <c r="L12" s="835"/>
      <c r="M12" s="575"/>
      <c r="N12" s="238"/>
      <c r="O12" s="576"/>
    </row>
    <row r="13" spans="1:16" s="569" customFormat="1" ht="15.75" thickBot="1" x14ac:dyDescent="0.3">
      <c r="A13" s="577" t="s">
        <v>18</v>
      </c>
      <c r="B13" s="578" t="s">
        <v>18</v>
      </c>
      <c r="C13" s="579" t="s">
        <v>20</v>
      </c>
      <c r="D13" s="578" t="s">
        <v>21</v>
      </c>
      <c r="E13" s="579" t="s">
        <v>22</v>
      </c>
      <c r="F13" s="578" t="s">
        <v>23</v>
      </c>
      <c r="G13" s="579" t="s">
        <v>46</v>
      </c>
      <c r="H13" s="578" t="s">
        <v>25</v>
      </c>
      <c r="I13" s="578" t="s">
        <v>4</v>
      </c>
      <c r="J13" s="578" t="s">
        <v>26</v>
      </c>
      <c r="K13" s="578" t="s">
        <v>155</v>
      </c>
      <c r="L13" s="836"/>
      <c r="M13" s="580" t="s">
        <v>11</v>
      </c>
      <c r="N13" s="245" t="s">
        <v>12</v>
      </c>
      <c r="O13" s="581" t="s">
        <v>13</v>
      </c>
    </row>
    <row r="14" spans="1:16" x14ac:dyDescent="0.25">
      <c r="A14" s="582" t="s">
        <v>38</v>
      </c>
      <c r="B14" s="583" t="s">
        <v>36</v>
      </c>
      <c r="C14" s="74"/>
      <c r="D14" s="584" t="s">
        <v>37</v>
      </c>
      <c r="E14" s="74"/>
      <c r="F14" s="75" t="s">
        <v>179</v>
      </c>
      <c r="G14" s="74"/>
      <c r="H14" s="75">
        <v>1</v>
      </c>
      <c r="I14" s="74">
        <v>1</v>
      </c>
      <c r="J14" s="585">
        <v>1</v>
      </c>
      <c r="K14" s="586"/>
      <c r="L14" s="74" t="s">
        <v>57</v>
      </c>
      <c r="M14" s="75"/>
      <c r="N14" s="273">
        <f>+N15+N25+N29+N32</f>
        <v>5338562</v>
      </c>
      <c r="O14" s="432"/>
      <c r="P14" s="48"/>
    </row>
    <row r="15" spans="1:16" x14ac:dyDescent="0.25">
      <c r="A15" s="587"/>
      <c r="B15" s="588"/>
      <c r="C15" s="43"/>
      <c r="D15" s="589"/>
      <c r="E15" s="43"/>
      <c r="G15" s="43"/>
      <c r="H15" s="42">
        <v>1</v>
      </c>
      <c r="I15" s="46">
        <v>1</v>
      </c>
      <c r="J15" s="64"/>
      <c r="K15" s="65"/>
      <c r="L15" s="46" t="s">
        <v>58</v>
      </c>
      <c r="M15" s="61"/>
      <c r="N15" s="172">
        <f>+N16+N19+N22+N23</f>
        <v>4991942</v>
      </c>
      <c r="O15" s="433"/>
      <c r="P15" s="48"/>
    </row>
    <row r="16" spans="1:16" x14ac:dyDescent="0.25">
      <c r="A16" s="587"/>
      <c r="B16" s="588"/>
      <c r="C16" s="43"/>
      <c r="D16" s="589"/>
      <c r="E16" s="43"/>
      <c r="G16" s="43"/>
      <c r="I16" s="46"/>
      <c r="J16" s="64">
        <v>1</v>
      </c>
      <c r="K16" s="45"/>
      <c r="L16" s="46" t="s">
        <v>59</v>
      </c>
      <c r="M16" s="61"/>
      <c r="N16" s="172">
        <f>+N17+N18</f>
        <v>3044810</v>
      </c>
      <c r="O16" s="433"/>
      <c r="P16" s="48"/>
    </row>
    <row r="17" spans="1:17" x14ac:dyDescent="0.25">
      <c r="A17" s="587"/>
      <c r="B17" s="588"/>
      <c r="C17" s="43"/>
      <c r="D17" s="589"/>
      <c r="E17" s="43"/>
      <c r="G17" s="59" t="s">
        <v>43</v>
      </c>
      <c r="I17" s="43"/>
      <c r="J17" s="44"/>
      <c r="K17" s="45" t="s">
        <v>35</v>
      </c>
      <c r="L17" s="43" t="s">
        <v>149</v>
      </c>
      <c r="N17" s="166">
        <f>ROUND(Hoja1!I19*0.05,0)</f>
        <v>1923214</v>
      </c>
      <c r="O17" s="434"/>
      <c r="P17" s="48"/>
    </row>
    <row r="18" spans="1:17" x14ac:dyDescent="0.25">
      <c r="A18" s="587"/>
      <c r="B18" s="588"/>
      <c r="C18" s="43"/>
      <c r="D18" s="589"/>
      <c r="E18" s="43"/>
      <c r="G18" s="43">
        <v>9998</v>
      </c>
      <c r="I18" s="43"/>
      <c r="J18" s="44"/>
      <c r="K18" s="45" t="s">
        <v>35</v>
      </c>
      <c r="L18" s="43" t="s">
        <v>149</v>
      </c>
      <c r="N18" s="166">
        <f>ROUND(Calculo!$I$52-N17,0)</f>
        <v>1121596</v>
      </c>
      <c r="O18" s="434"/>
      <c r="P18" s="48"/>
    </row>
    <row r="19" spans="1:17" x14ac:dyDescent="0.25">
      <c r="A19" s="587"/>
      <c r="B19" s="588"/>
      <c r="C19" s="43"/>
      <c r="D19" s="589"/>
      <c r="E19" s="43"/>
      <c r="G19" s="43">
        <v>9998</v>
      </c>
      <c r="I19" s="46"/>
      <c r="J19" s="64">
        <v>2</v>
      </c>
      <c r="K19" s="65"/>
      <c r="L19" s="43" t="s">
        <v>150</v>
      </c>
      <c r="M19" s="61"/>
      <c r="N19" s="172">
        <f>+N20+N21</f>
        <v>4708</v>
      </c>
      <c r="O19" s="434"/>
      <c r="P19" s="48"/>
    </row>
    <row r="20" spans="1:17" x14ac:dyDescent="0.25">
      <c r="A20" s="587"/>
      <c r="B20" s="588"/>
      <c r="C20" s="43"/>
      <c r="D20" s="589"/>
      <c r="E20" s="43"/>
      <c r="G20" s="43"/>
      <c r="I20" s="43"/>
      <c r="J20" s="44"/>
      <c r="K20" s="45" t="s">
        <v>197</v>
      </c>
      <c r="L20" s="44" t="s">
        <v>566</v>
      </c>
      <c r="N20" s="166">
        <f>Calculo!$I$55</f>
        <v>4708</v>
      </c>
      <c r="O20" s="434"/>
      <c r="P20" s="48"/>
    </row>
    <row r="21" spans="1:17" hidden="1" x14ac:dyDescent="0.25">
      <c r="A21" s="587"/>
      <c r="B21" s="588"/>
      <c r="C21" s="43"/>
      <c r="D21" s="589"/>
      <c r="E21" s="43"/>
      <c r="G21" s="43" t="s">
        <v>43</v>
      </c>
      <c r="H21" s="42">
        <v>1</v>
      </c>
      <c r="I21" s="43">
        <v>1</v>
      </c>
      <c r="J21" s="44">
        <v>2</v>
      </c>
      <c r="K21" s="45" t="s">
        <v>198</v>
      </c>
      <c r="L21" s="42" t="s">
        <v>225</v>
      </c>
      <c r="N21" s="166">
        <f>Calculo!I56</f>
        <v>0</v>
      </c>
      <c r="O21" s="434"/>
      <c r="P21" s="48"/>
    </row>
    <row r="22" spans="1:17" x14ac:dyDescent="0.25">
      <c r="A22" s="587"/>
      <c r="B22" s="588"/>
      <c r="C22" s="43"/>
      <c r="D22" s="589"/>
      <c r="E22" s="43"/>
      <c r="G22" s="43">
        <v>9998</v>
      </c>
      <c r="I22" s="43"/>
      <c r="J22" s="64">
        <v>4</v>
      </c>
      <c r="K22" s="47"/>
      <c r="L22" s="43" t="s">
        <v>132</v>
      </c>
      <c r="N22" s="166">
        <f>ROUND(Calculo!$I$61,0)</f>
        <v>645800</v>
      </c>
      <c r="O22" s="434"/>
      <c r="P22" s="48"/>
    </row>
    <row r="23" spans="1:17" x14ac:dyDescent="0.25">
      <c r="A23" s="587"/>
      <c r="B23" s="588"/>
      <c r="C23" s="43"/>
      <c r="D23" s="589"/>
      <c r="E23" s="43"/>
      <c r="G23" s="43">
        <v>9998</v>
      </c>
      <c r="I23" s="43"/>
      <c r="J23" s="64">
        <v>5</v>
      </c>
      <c r="K23" s="47"/>
      <c r="L23" s="43" t="s">
        <v>61</v>
      </c>
      <c r="N23" s="172">
        <f>+N24</f>
        <v>1296624</v>
      </c>
      <c r="O23" s="434"/>
      <c r="P23" s="48"/>
    </row>
    <row r="24" spans="1:17" x14ac:dyDescent="0.25">
      <c r="A24" s="587"/>
      <c r="B24" s="588"/>
      <c r="C24" s="43"/>
      <c r="D24" s="589"/>
      <c r="E24" s="43"/>
      <c r="G24" s="43"/>
      <c r="I24" s="43"/>
      <c r="J24" s="44"/>
      <c r="K24" s="45" t="s">
        <v>35</v>
      </c>
      <c r="L24" s="43" t="s">
        <v>61</v>
      </c>
      <c r="N24" s="166">
        <f>ROUND(Calculo!$I$64,0)</f>
        <v>1296624</v>
      </c>
      <c r="O24" s="434"/>
      <c r="P24" s="48"/>
    </row>
    <row r="25" spans="1:17" x14ac:dyDescent="0.25">
      <c r="A25" s="587"/>
      <c r="B25" s="588"/>
      <c r="C25" s="43"/>
      <c r="D25" s="589"/>
      <c r="E25" s="43"/>
      <c r="G25" s="43">
        <v>9998</v>
      </c>
      <c r="H25" s="42">
        <v>1</v>
      </c>
      <c r="I25" s="62">
        <v>2</v>
      </c>
      <c r="J25" s="46"/>
      <c r="K25" s="63"/>
      <c r="L25" s="46" t="s">
        <v>100</v>
      </c>
      <c r="N25" s="172">
        <f>+N26</f>
        <v>48795</v>
      </c>
      <c r="O25" s="434"/>
      <c r="P25" s="48"/>
    </row>
    <row r="26" spans="1:17" x14ac:dyDescent="0.25">
      <c r="A26" s="587"/>
      <c r="B26" s="588"/>
      <c r="C26" s="43"/>
      <c r="D26" s="589"/>
      <c r="E26" s="43"/>
      <c r="G26" s="43"/>
      <c r="I26" s="60"/>
      <c r="J26" s="46">
        <v>2</v>
      </c>
      <c r="K26" s="47"/>
      <c r="L26" s="43" t="s">
        <v>105</v>
      </c>
      <c r="N26" s="172">
        <f>+N27+N28</f>
        <v>48795</v>
      </c>
      <c r="O26" s="434"/>
      <c r="P26" s="48"/>
    </row>
    <row r="27" spans="1:17" hidden="1" x14ac:dyDescent="0.25">
      <c r="A27" s="587"/>
      <c r="B27" s="588"/>
      <c r="C27" s="43"/>
      <c r="D27" s="589"/>
      <c r="E27" s="43"/>
      <c r="G27" s="43"/>
      <c r="I27" s="60"/>
      <c r="J27" s="43" t="s">
        <v>106</v>
      </c>
      <c r="K27" s="47"/>
      <c r="L27" s="43" t="s">
        <v>107</v>
      </c>
      <c r="N27" s="166">
        <f>Calculo!I72</f>
        <v>0</v>
      </c>
      <c r="O27" s="434"/>
      <c r="P27" s="48"/>
    </row>
    <row r="28" spans="1:17" x14ac:dyDescent="0.25">
      <c r="A28" s="587"/>
      <c r="B28" s="588"/>
      <c r="C28" s="43"/>
      <c r="D28" s="589"/>
      <c r="E28" s="43"/>
      <c r="G28" s="43"/>
      <c r="I28" s="60"/>
      <c r="J28" s="43"/>
      <c r="K28" s="47" t="s">
        <v>208</v>
      </c>
      <c r="L28" s="43" t="s">
        <v>164</v>
      </c>
      <c r="N28" s="166">
        <f>ROUND(Calculo!$I$73,0)</f>
        <v>48795</v>
      </c>
      <c r="O28" s="434"/>
      <c r="P28" s="48"/>
    </row>
    <row r="29" spans="1:17" x14ac:dyDescent="0.25">
      <c r="A29" s="587"/>
      <c r="B29" s="588"/>
      <c r="C29" s="43"/>
      <c r="D29" s="589"/>
      <c r="E29" s="43"/>
      <c r="G29" s="43">
        <v>9998</v>
      </c>
      <c r="H29" s="42">
        <v>1</v>
      </c>
      <c r="I29" s="46">
        <v>4</v>
      </c>
      <c r="J29" s="64"/>
      <c r="K29" s="63"/>
      <c r="L29" s="46" t="s">
        <v>62</v>
      </c>
      <c r="M29" s="61"/>
      <c r="N29" s="172">
        <f>+N30</f>
        <v>82088</v>
      </c>
      <c r="O29" s="433"/>
      <c r="P29" s="48"/>
    </row>
    <row r="30" spans="1:17" x14ac:dyDescent="0.25">
      <c r="A30" s="587"/>
      <c r="B30" s="588"/>
      <c r="C30" s="43"/>
      <c r="D30" s="589"/>
      <c r="E30" s="43"/>
      <c r="G30" s="43"/>
      <c r="I30" s="43"/>
      <c r="J30" s="64">
        <v>2</v>
      </c>
      <c r="K30" s="47"/>
      <c r="L30" s="43" t="s">
        <v>63</v>
      </c>
      <c r="N30" s="172">
        <f>+N31</f>
        <v>82088</v>
      </c>
      <c r="O30" s="434"/>
      <c r="P30" s="48"/>
    </row>
    <row r="31" spans="1:17" x14ac:dyDescent="0.25">
      <c r="A31" s="587"/>
      <c r="B31" s="588"/>
      <c r="C31" s="43"/>
      <c r="D31" s="589"/>
      <c r="E31" s="43"/>
      <c r="G31" s="43"/>
      <c r="I31" s="43"/>
      <c r="J31" s="44"/>
      <c r="K31" s="45" t="s">
        <v>198</v>
      </c>
      <c r="L31" s="43" t="s">
        <v>110</v>
      </c>
      <c r="N31" s="166">
        <f>ROUND(Calculo!$I$77,0)</f>
        <v>82088</v>
      </c>
      <c r="O31" s="434"/>
      <c r="P31" s="48"/>
      <c r="Q31" s="73"/>
    </row>
    <row r="32" spans="1:17" x14ac:dyDescent="0.25">
      <c r="A32" s="587"/>
      <c r="B32" s="588"/>
      <c r="C32" s="43"/>
      <c r="D32" s="589"/>
      <c r="E32" s="43"/>
      <c r="G32" s="43">
        <v>9998</v>
      </c>
      <c r="H32" s="42">
        <v>1</v>
      </c>
      <c r="I32" s="46">
        <v>5</v>
      </c>
      <c r="J32" s="64"/>
      <c r="K32" s="65"/>
      <c r="L32" s="46" t="s">
        <v>64</v>
      </c>
      <c r="M32" s="61"/>
      <c r="N32" s="172">
        <f>+N33</f>
        <v>215737</v>
      </c>
      <c r="O32" s="433"/>
      <c r="P32" s="48"/>
    </row>
    <row r="33" spans="1:16" x14ac:dyDescent="0.25">
      <c r="A33" s="587"/>
      <c r="B33" s="588"/>
      <c r="C33" s="43"/>
      <c r="D33" s="589"/>
      <c r="E33" s="43"/>
      <c r="G33" s="43"/>
      <c r="I33" s="43"/>
      <c r="J33" s="44">
        <v>2</v>
      </c>
      <c r="K33" s="45"/>
      <c r="L33" s="43" t="s">
        <v>65</v>
      </c>
      <c r="N33" s="166">
        <f>ROUND(Calculo!$I$85,0)</f>
        <v>215737</v>
      </c>
      <c r="O33" s="434"/>
      <c r="P33" s="48"/>
    </row>
    <row r="34" spans="1:16" x14ac:dyDescent="0.25">
      <c r="A34" s="587"/>
      <c r="B34" s="588"/>
      <c r="C34" s="43"/>
      <c r="D34" s="589"/>
      <c r="E34" s="43"/>
      <c r="G34" s="43">
        <v>9998</v>
      </c>
      <c r="H34" s="61">
        <v>2</v>
      </c>
      <c r="I34" s="46"/>
      <c r="J34" s="64"/>
      <c r="K34" s="65"/>
      <c r="L34" s="46" t="s">
        <v>66</v>
      </c>
      <c r="M34" s="61"/>
      <c r="N34" s="172">
        <f>+N35+N41+N43+N45+N49+N52+N59+N47</f>
        <v>1175865.5</v>
      </c>
      <c r="O34" s="433"/>
      <c r="P34" s="48"/>
    </row>
    <row r="35" spans="1:16" x14ac:dyDescent="0.25">
      <c r="A35" s="587"/>
      <c r="B35" s="588"/>
      <c r="C35" s="43"/>
      <c r="D35" s="589"/>
      <c r="E35" s="43"/>
      <c r="G35" s="43"/>
      <c r="H35" s="42">
        <v>2</v>
      </c>
      <c r="I35" s="46">
        <v>1</v>
      </c>
      <c r="J35" s="64"/>
      <c r="K35" s="65"/>
      <c r="L35" s="46" t="s">
        <v>67</v>
      </c>
      <c r="M35" s="61"/>
      <c r="N35" s="172">
        <f>+N36+N37+N39+N40</f>
        <v>262252</v>
      </c>
      <c r="O35" s="433"/>
      <c r="P35" s="48"/>
    </row>
    <row r="36" spans="1:16" x14ac:dyDescent="0.25">
      <c r="A36" s="587"/>
      <c r="B36" s="588"/>
      <c r="C36" s="43"/>
      <c r="D36" s="589"/>
      <c r="E36" s="43"/>
      <c r="G36" s="43"/>
      <c r="I36" s="43"/>
      <c r="J36" s="44">
        <v>3</v>
      </c>
      <c r="K36" s="45"/>
      <c r="L36" s="43" t="s">
        <v>68</v>
      </c>
      <c r="N36" s="166">
        <f>ROUND(Calculo!$I$92,0)</f>
        <v>82637</v>
      </c>
      <c r="O36" s="434"/>
      <c r="P36" s="48"/>
    </row>
    <row r="37" spans="1:16" x14ac:dyDescent="0.25">
      <c r="A37" s="587"/>
      <c r="B37" s="588"/>
      <c r="C37" s="43"/>
      <c r="D37" s="589"/>
      <c r="E37" s="43"/>
      <c r="G37" s="43"/>
      <c r="I37" s="43"/>
      <c r="J37" s="64">
        <v>6</v>
      </c>
      <c r="K37" s="45"/>
      <c r="L37" s="43" t="s">
        <v>69</v>
      </c>
      <c r="N37" s="172">
        <f>+N38</f>
        <v>173150</v>
      </c>
      <c r="O37" s="434"/>
      <c r="P37" s="48"/>
    </row>
    <row r="38" spans="1:16" x14ac:dyDescent="0.25">
      <c r="A38" s="587"/>
      <c r="B38" s="588"/>
      <c r="C38" s="43"/>
      <c r="D38" s="589"/>
      <c r="E38" s="43"/>
      <c r="G38" s="43"/>
      <c r="I38" s="43"/>
      <c r="J38" s="44"/>
      <c r="K38" s="45" t="s">
        <v>35</v>
      </c>
      <c r="L38" s="43" t="s">
        <v>133</v>
      </c>
      <c r="N38" s="166">
        <f>ROUND(Calculo!$I$95,0)</f>
        <v>173150</v>
      </c>
      <c r="O38" s="434"/>
      <c r="P38" s="48"/>
    </row>
    <row r="39" spans="1:16" x14ac:dyDescent="0.25">
      <c r="A39" s="587"/>
      <c r="B39" s="588"/>
      <c r="C39" s="43"/>
      <c r="D39" s="589"/>
      <c r="E39" s="43"/>
      <c r="G39" s="43"/>
      <c r="I39" s="43"/>
      <c r="J39" s="44">
        <v>7</v>
      </c>
      <c r="K39" s="45"/>
      <c r="L39" s="43" t="s">
        <v>70</v>
      </c>
      <c r="N39" s="166">
        <f>ROUND(Calculo!$I$96,0)</f>
        <v>4209</v>
      </c>
      <c r="O39" s="434"/>
      <c r="P39" s="48"/>
    </row>
    <row r="40" spans="1:16" x14ac:dyDescent="0.25">
      <c r="A40" s="587"/>
      <c r="B40" s="588"/>
      <c r="C40" s="43"/>
      <c r="D40" s="589"/>
      <c r="E40" s="43"/>
      <c r="G40" s="43"/>
      <c r="I40" s="43"/>
      <c r="J40" s="44">
        <v>8</v>
      </c>
      <c r="K40" s="45"/>
      <c r="L40" s="43" t="s">
        <v>218</v>
      </c>
      <c r="N40" s="166">
        <f>ROUND(Calculo!$I$97,0)</f>
        <v>2256</v>
      </c>
      <c r="O40" s="434"/>
      <c r="P40" s="48"/>
    </row>
    <row r="41" spans="1:16" x14ac:dyDescent="0.25">
      <c r="A41" s="587"/>
      <c r="B41" s="588"/>
      <c r="C41" s="43"/>
      <c r="D41" s="589"/>
      <c r="E41" s="43"/>
      <c r="G41" s="43"/>
      <c r="H41" s="42">
        <v>2</v>
      </c>
      <c r="I41" s="46">
        <v>2</v>
      </c>
      <c r="J41" s="64"/>
      <c r="K41" s="65"/>
      <c r="L41" s="46" t="s">
        <v>72</v>
      </c>
      <c r="M41" s="61"/>
      <c r="N41" s="172">
        <f>+N42</f>
        <v>132139</v>
      </c>
      <c r="O41" s="433"/>
      <c r="P41" s="48"/>
    </row>
    <row r="42" spans="1:16" x14ac:dyDescent="0.25">
      <c r="A42" s="587"/>
      <c r="B42" s="588"/>
      <c r="C42" s="43"/>
      <c r="D42" s="589"/>
      <c r="E42" s="43"/>
      <c r="G42" s="43"/>
      <c r="I42" s="43"/>
      <c r="J42" s="44">
        <v>1</v>
      </c>
      <c r="K42" s="45"/>
      <c r="L42" s="43" t="s">
        <v>73</v>
      </c>
      <c r="N42" s="166">
        <f>ROUND(Calculo!$I$99,0)</f>
        <v>132139</v>
      </c>
      <c r="O42" s="434"/>
      <c r="P42" s="48"/>
    </row>
    <row r="43" spans="1:16" x14ac:dyDescent="0.25">
      <c r="A43" s="587"/>
      <c r="B43" s="588"/>
      <c r="C43" s="43"/>
      <c r="D43" s="589"/>
      <c r="E43" s="43"/>
      <c r="G43" s="43"/>
      <c r="H43" s="42">
        <v>2</v>
      </c>
      <c r="I43" s="46">
        <v>3</v>
      </c>
      <c r="J43" s="64"/>
      <c r="K43" s="65"/>
      <c r="L43" s="46" t="s">
        <v>74</v>
      </c>
      <c r="M43" s="61"/>
      <c r="N43" s="172">
        <f>+N44</f>
        <v>79247</v>
      </c>
      <c r="O43" s="433"/>
      <c r="P43" s="48"/>
    </row>
    <row r="44" spans="1:16" x14ac:dyDescent="0.25">
      <c r="A44" s="587"/>
      <c r="B44" s="588"/>
      <c r="C44" s="43"/>
      <c r="D44" s="589"/>
      <c r="E44" s="43"/>
      <c r="G44" s="43"/>
      <c r="I44" s="43"/>
      <c r="J44" s="44">
        <v>1</v>
      </c>
      <c r="K44" s="45"/>
      <c r="L44" s="43" t="s">
        <v>75</v>
      </c>
      <c r="N44" s="166">
        <f>ROUND(Calculo!$I$105,0)</f>
        <v>79247</v>
      </c>
      <c r="O44" s="434"/>
      <c r="P44" s="48"/>
    </row>
    <row r="45" spans="1:16" x14ac:dyDescent="0.25">
      <c r="A45" s="587"/>
      <c r="B45" s="588"/>
      <c r="C45" s="43"/>
      <c r="D45" s="589"/>
      <c r="E45" s="43"/>
      <c r="G45" s="43"/>
      <c r="H45" s="42">
        <v>2</v>
      </c>
      <c r="I45" s="46">
        <v>4</v>
      </c>
      <c r="J45" s="64"/>
      <c r="K45" s="65"/>
      <c r="L45" s="46" t="s">
        <v>116</v>
      </c>
      <c r="M45" s="61"/>
      <c r="N45" s="172">
        <f>+N46</f>
        <v>19234</v>
      </c>
      <c r="O45" s="433"/>
      <c r="P45" s="48"/>
    </row>
    <row r="46" spans="1:16" x14ac:dyDescent="0.25">
      <c r="A46" s="587"/>
      <c r="B46" s="588"/>
      <c r="C46" s="43"/>
      <c r="D46" s="589"/>
      <c r="E46" s="43"/>
      <c r="G46" s="43"/>
      <c r="I46" s="43"/>
      <c r="J46" s="44">
        <v>1</v>
      </c>
      <c r="K46" s="45"/>
      <c r="L46" s="43" t="s">
        <v>77</v>
      </c>
      <c r="N46" s="166">
        <f>ROUND(Calculo!$I$109,0)</f>
        <v>19234</v>
      </c>
      <c r="O46" s="434"/>
      <c r="P46" s="48"/>
    </row>
    <row r="47" spans="1:16" x14ac:dyDescent="0.25">
      <c r="A47" s="587"/>
      <c r="B47" s="588"/>
      <c r="C47" s="43"/>
      <c r="D47" s="589"/>
      <c r="E47" s="43"/>
      <c r="G47" s="43"/>
      <c r="H47" s="42">
        <v>2</v>
      </c>
      <c r="I47" s="46">
        <v>5</v>
      </c>
      <c r="J47" s="44"/>
      <c r="K47" s="45"/>
      <c r="L47" s="61" t="s">
        <v>117</v>
      </c>
      <c r="N47" s="172">
        <f>+N48</f>
        <v>21109</v>
      </c>
      <c r="O47" s="434"/>
      <c r="P47" s="48"/>
    </row>
    <row r="48" spans="1:16" x14ac:dyDescent="0.25">
      <c r="A48" s="587"/>
      <c r="B48" s="588"/>
      <c r="C48" s="43"/>
      <c r="D48" s="589"/>
      <c r="E48" s="43"/>
      <c r="G48" s="43"/>
      <c r="I48" s="43"/>
      <c r="J48" s="44">
        <v>4</v>
      </c>
      <c r="K48" s="45"/>
      <c r="L48" s="42" t="s">
        <v>101</v>
      </c>
      <c r="N48" s="166">
        <f>ROUND(Calculo!$I$119,0)</f>
        <v>21109</v>
      </c>
      <c r="O48" s="434"/>
      <c r="P48" s="48"/>
    </row>
    <row r="49" spans="1:17" x14ac:dyDescent="0.25">
      <c r="A49" s="587"/>
      <c r="B49" s="588"/>
      <c r="C49" s="43"/>
      <c r="D49" s="589"/>
      <c r="E49" s="43"/>
      <c r="G49" s="43"/>
      <c r="H49" s="42">
        <v>2</v>
      </c>
      <c r="I49" s="46">
        <v>6</v>
      </c>
      <c r="J49" s="64"/>
      <c r="K49" s="65"/>
      <c r="L49" s="46" t="s">
        <v>79</v>
      </c>
      <c r="M49" s="61"/>
      <c r="N49" s="172">
        <f>+N50+N51</f>
        <v>536175</v>
      </c>
      <c r="O49" s="433"/>
      <c r="P49" s="48"/>
    </row>
    <row r="50" spans="1:17" x14ac:dyDescent="0.25">
      <c r="A50" s="587"/>
      <c r="B50" s="588"/>
      <c r="C50" s="43"/>
      <c r="D50" s="589"/>
      <c r="E50" s="43"/>
      <c r="G50" s="43"/>
      <c r="I50" s="43"/>
      <c r="J50" s="44">
        <v>2</v>
      </c>
      <c r="K50" s="45"/>
      <c r="L50" s="43" t="s">
        <v>151</v>
      </c>
      <c r="N50" s="166">
        <f>ROUND(Calculo!$I$127,0)</f>
        <v>33088</v>
      </c>
      <c r="O50" s="434"/>
      <c r="P50" s="48"/>
    </row>
    <row r="51" spans="1:17" x14ac:dyDescent="0.25">
      <c r="A51" s="587"/>
      <c r="B51" s="588"/>
      <c r="C51" s="43"/>
      <c r="D51" s="589"/>
      <c r="E51" s="43"/>
      <c r="G51" s="43"/>
      <c r="I51" s="43"/>
      <c r="J51" s="44">
        <v>3</v>
      </c>
      <c r="K51" s="45"/>
      <c r="L51" s="43" t="s">
        <v>144</v>
      </c>
      <c r="N51" s="166">
        <f>Calculo!$I$133</f>
        <v>503087</v>
      </c>
      <c r="O51" s="434"/>
      <c r="P51" s="48"/>
    </row>
    <row r="52" spans="1:17" ht="29.25" x14ac:dyDescent="0.25">
      <c r="A52" s="587"/>
      <c r="B52" s="588"/>
      <c r="C52" s="43"/>
      <c r="D52" s="589"/>
      <c r="E52" s="43"/>
      <c r="G52" s="43"/>
      <c r="H52" s="42">
        <v>2</v>
      </c>
      <c r="I52" s="46">
        <v>7</v>
      </c>
      <c r="J52" s="64"/>
      <c r="K52" s="65"/>
      <c r="L52" s="590" t="s">
        <v>152</v>
      </c>
      <c r="M52" s="61"/>
      <c r="N52" s="172">
        <f>+N53+N55</f>
        <v>43243</v>
      </c>
      <c r="O52" s="433"/>
      <c r="P52" s="48"/>
    </row>
    <row r="53" spans="1:17" x14ac:dyDescent="0.25">
      <c r="A53" s="587"/>
      <c r="B53" s="588"/>
      <c r="C53" s="43"/>
      <c r="D53" s="589"/>
      <c r="E53" s="43"/>
      <c r="G53" s="43"/>
      <c r="I53" s="43"/>
      <c r="J53" s="64">
        <v>1</v>
      </c>
      <c r="K53" s="45"/>
      <c r="L53" s="43" t="s">
        <v>81</v>
      </c>
      <c r="N53" s="172">
        <f>+N54</f>
        <v>-9249</v>
      </c>
      <c r="O53" s="434"/>
      <c r="P53" s="48"/>
    </row>
    <row r="54" spans="1:17" x14ac:dyDescent="0.25">
      <c r="A54" s="587"/>
      <c r="B54" s="588"/>
      <c r="C54" s="43"/>
      <c r="D54" s="589"/>
      <c r="E54" s="43"/>
      <c r="G54" s="43"/>
      <c r="I54" s="43"/>
      <c r="J54" s="44"/>
      <c r="K54" s="45" t="s">
        <v>37</v>
      </c>
      <c r="L54" s="43" t="s">
        <v>122</v>
      </c>
      <c r="N54" s="166">
        <f>Calculo!$I$140</f>
        <v>-9249</v>
      </c>
      <c r="O54" s="434"/>
      <c r="P54" s="48"/>
    </row>
    <row r="55" spans="1:17" x14ac:dyDescent="0.25">
      <c r="A55" s="587"/>
      <c r="B55" s="588"/>
      <c r="C55" s="43"/>
      <c r="D55" s="589"/>
      <c r="E55" s="43"/>
      <c r="G55" s="43"/>
      <c r="I55" s="43"/>
      <c r="J55" s="64">
        <v>2</v>
      </c>
      <c r="K55" s="45"/>
      <c r="L55" s="43" t="s">
        <v>82</v>
      </c>
      <c r="N55" s="172">
        <f>+N56+N57+N58</f>
        <v>52492</v>
      </c>
      <c r="O55" s="434"/>
      <c r="P55" s="48"/>
    </row>
    <row r="56" spans="1:17" x14ac:dyDescent="0.25">
      <c r="A56" s="587"/>
      <c r="B56" s="588"/>
      <c r="C56" s="43"/>
      <c r="D56" s="589"/>
      <c r="E56" s="43"/>
      <c r="G56" s="43"/>
      <c r="I56" s="43"/>
      <c r="J56" s="44"/>
      <c r="K56" s="45" t="s">
        <v>35</v>
      </c>
      <c r="L56" s="43" t="s">
        <v>153</v>
      </c>
      <c r="N56" s="166">
        <f>Calculo!$I$146+Calculo!$I$147</f>
        <v>23051</v>
      </c>
      <c r="O56" s="434"/>
      <c r="P56" s="48"/>
    </row>
    <row r="57" spans="1:17" x14ac:dyDescent="0.25">
      <c r="A57" s="587"/>
      <c r="B57" s="588"/>
      <c r="C57" s="43"/>
      <c r="D57" s="589"/>
      <c r="E57" s="43"/>
      <c r="G57" s="43"/>
      <c r="I57" s="43"/>
      <c r="J57" s="44"/>
      <c r="K57" s="45" t="s">
        <v>209</v>
      </c>
      <c r="L57" s="43" t="s">
        <v>154</v>
      </c>
      <c r="N57" s="166">
        <f>Calculo!$I$148+Calculo!$I$149+Calculo!$I$150</f>
        <v>21707</v>
      </c>
      <c r="O57" s="434"/>
      <c r="P57" s="48"/>
      <c r="Q57" s="48"/>
    </row>
    <row r="58" spans="1:17" x14ac:dyDescent="0.25">
      <c r="A58" s="587"/>
      <c r="B58" s="588"/>
      <c r="C58" s="43"/>
      <c r="D58" s="589"/>
      <c r="E58" s="43"/>
      <c r="G58" s="43"/>
      <c r="I58" s="43"/>
      <c r="J58" s="64">
        <v>3</v>
      </c>
      <c r="K58" s="45" t="s">
        <v>35</v>
      </c>
      <c r="L58" s="42" t="s">
        <v>120</v>
      </c>
      <c r="N58" s="166">
        <f>ROUND(Calculo!$I$155,0)</f>
        <v>7734</v>
      </c>
      <c r="O58" s="434"/>
      <c r="P58" s="48"/>
    </row>
    <row r="59" spans="1:17" x14ac:dyDescent="0.25">
      <c r="A59" s="587"/>
      <c r="B59" s="588"/>
      <c r="C59" s="43"/>
      <c r="D59" s="589"/>
      <c r="E59" s="43"/>
      <c r="G59" s="43"/>
      <c r="H59" s="42">
        <v>2</v>
      </c>
      <c r="I59" s="46">
        <v>8</v>
      </c>
      <c r="J59" s="64"/>
      <c r="K59" s="65"/>
      <c r="L59" s="46" t="s">
        <v>83</v>
      </c>
      <c r="M59" s="61"/>
      <c r="N59" s="172">
        <f>+N60+N61</f>
        <v>82466.5</v>
      </c>
      <c r="O59" s="434"/>
      <c r="P59" s="48"/>
    </row>
    <row r="60" spans="1:17" x14ac:dyDescent="0.25">
      <c r="A60" s="587"/>
      <c r="B60" s="588"/>
      <c r="C60" s="43"/>
      <c r="D60" s="589"/>
      <c r="E60" s="43"/>
      <c r="G60" s="43"/>
      <c r="I60" s="46"/>
      <c r="J60" s="64">
        <v>4</v>
      </c>
      <c r="K60" s="591"/>
      <c r="L60" s="42" t="s">
        <v>102</v>
      </c>
      <c r="M60" s="61"/>
      <c r="N60" s="166">
        <f>+Calculo!I161</f>
        <v>801.5</v>
      </c>
      <c r="O60" s="434"/>
      <c r="P60" s="48"/>
    </row>
    <row r="61" spans="1:17" x14ac:dyDescent="0.25">
      <c r="A61" s="587"/>
      <c r="B61" s="588"/>
      <c r="C61" s="43"/>
      <c r="D61" s="589"/>
      <c r="E61" s="43"/>
      <c r="G61" s="43"/>
      <c r="I61" s="43"/>
      <c r="J61" s="64">
        <v>9</v>
      </c>
      <c r="K61" s="45"/>
      <c r="L61" s="43" t="s">
        <v>148</v>
      </c>
      <c r="N61" s="172">
        <f>+N62</f>
        <v>81665</v>
      </c>
      <c r="O61" s="434"/>
      <c r="P61" s="48"/>
    </row>
    <row r="62" spans="1:17" x14ac:dyDescent="0.25">
      <c r="A62" s="587"/>
      <c r="B62" s="588"/>
      <c r="C62" s="43"/>
      <c r="D62" s="589"/>
      <c r="E62" s="43"/>
      <c r="G62" s="43"/>
      <c r="I62" s="43"/>
      <c r="J62" s="44"/>
      <c r="K62" s="45" t="s">
        <v>199</v>
      </c>
      <c r="L62" s="43" t="s">
        <v>126</v>
      </c>
      <c r="N62" s="166">
        <f>ROUND(Calculo!$I$175,0)+Calculo!I226</f>
        <v>81665</v>
      </c>
      <c r="O62" s="434"/>
      <c r="P62" s="48"/>
    </row>
    <row r="63" spans="1:17" x14ac:dyDescent="0.25">
      <c r="A63" s="587"/>
      <c r="B63" s="588"/>
      <c r="C63" s="43"/>
      <c r="D63" s="589"/>
      <c r="E63" s="43"/>
      <c r="G63" s="43">
        <v>9998</v>
      </c>
      <c r="H63" s="61">
        <v>3</v>
      </c>
      <c r="I63" s="46"/>
      <c r="J63" s="64"/>
      <c r="K63" s="65"/>
      <c r="L63" s="46" t="s">
        <v>87</v>
      </c>
      <c r="M63" s="61"/>
      <c r="N63" s="172">
        <f>+N66+N70+N73+N64+N68</f>
        <v>496633</v>
      </c>
      <c r="O63" s="433"/>
      <c r="P63" s="48"/>
    </row>
    <row r="64" spans="1:17" hidden="1" x14ac:dyDescent="0.25">
      <c r="A64" s="587"/>
      <c r="B64" s="588"/>
      <c r="C64" s="43"/>
      <c r="D64" s="589"/>
      <c r="E64" s="43"/>
      <c r="G64" s="43"/>
      <c r="H64" s="61"/>
      <c r="I64" s="46">
        <v>32</v>
      </c>
      <c r="J64" s="64"/>
      <c r="K64" s="65"/>
      <c r="L64" s="46" t="s">
        <v>183</v>
      </c>
      <c r="M64" s="61"/>
      <c r="N64" s="172">
        <f>+N65</f>
        <v>0</v>
      </c>
      <c r="O64" s="433"/>
      <c r="P64" s="48"/>
    </row>
    <row r="65" spans="1:16" hidden="1" x14ac:dyDescent="0.25">
      <c r="A65" s="587"/>
      <c r="B65" s="588"/>
      <c r="C65" s="43"/>
      <c r="D65" s="589"/>
      <c r="E65" s="43"/>
      <c r="G65" s="43"/>
      <c r="H65" s="61"/>
      <c r="I65" s="46"/>
      <c r="J65" s="44">
        <v>323</v>
      </c>
      <c r="K65" s="45"/>
      <c r="L65" s="43" t="s">
        <v>181</v>
      </c>
      <c r="N65" s="166">
        <f>ROUND(Calculo!I188,0)</f>
        <v>0</v>
      </c>
      <c r="O65" s="434"/>
      <c r="P65" s="48"/>
    </row>
    <row r="66" spans="1:16" x14ac:dyDescent="0.25">
      <c r="A66" s="587"/>
      <c r="B66" s="588"/>
      <c r="C66" s="43"/>
      <c r="D66" s="589"/>
      <c r="E66" s="43"/>
      <c r="G66" s="43"/>
      <c r="H66" s="42">
        <v>3</v>
      </c>
      <c r="I66" s="46">
        <v>3</v>
      </c>
      <c r="J66" s="64"/>
      <c r="K66" s="65"/>
      <c r="L66" s="46" t="s">
        <v>88</v>
      </c>
      <c r="M66" s="61"/>
      <c r="N66" s="172">
        <f>+N67</f>
        <v>93911</v>
      </c>
      <c r="O66" s="433"/>
      <c r="P66" s="48"/>
    </row>
    <row r="67" spans="1:16" x14ac:dyDescent="0.25">
      <c r="A67" s="587"/>
      <c r="B67" s="588"/>
      <c r="C67" s="43"/>
      <c r="D67" s="589"/>
      <c r="E67" s="43"/>
      <c r="G67" s="43"/>
      <c r="I67" s="43"/>
      <c r="J67" s="44">
        <v>1</v>
      </c>
      <c r="K67" s="45"/>
      <c r="L67" s="43" t="s">
        <v>89</v>
      </c>
      <c r="N67" s="166">
        <f>ROUND(Calculo!$I$191,0)</f>
        <v>93911</v>
      </c>
      <c r="O67" s="434"/>
      <c r="P67" s="48"/>
    </row>
    <row r="68" spans="1:16" x14ac:dyDescent="0.25">
      <c r="A68" s="587"/>
      <c r="B68" s="588"/>
      <c r="C68" s="43"/>
      <c r="D68" s="589"/>
      <c r="E68" s="43"/>
      <c r="G68" s="43"/>
      <c r="H68" s="42">
        <v>3</v>
      </c>
      <c r="I68" s="46">
        <v>5</v>
      </c>
      <c r="J68" s="44"/>
      <c r="K68" s="45"/>
      <c r="L68" s="46" t="s">
        <v>50</v>
      </c>
      <c r="N68" s="172">
        <f>+N69</f>
        <v>2230</v>
      </c>
      <c r="O68" s="434"/>
      <c r="P68" s="48"/>
    </row>
    <row r="69" spans="1:16" x14ac:dyDescent="0.25">
      <c r="A69" s="587"/>
      <c r="B69" s="588"/>
      <c r="C69" s="43"/>
      <c r="D69" s="589"/>
      <c r="E69" s="43"/>
      <c r="G69" s="43"/>
      <c r="I69" s="43"/>
      <c r="J69" s="44">
        <v>3</v>
      </c>
      <c r="K69" s="45"/>
      <c r="L69" s="43" t="s">
        <v>51</v>
      </c>
      <c r="N69" s="166">
        <f>ROUND(Calculo!$I$196,0)</f>
        <v>2230</v>
      </c>
      <c r="O69" s="434"/>
      <c r="P69" s="48"/>
    </row>
    <row r="70" spans="1:16" x14ac:dyDescent="0.25">
      <c r="A70" s="587"/>
      <c r="B70" s="588"/>
      <c r="C70" s="43"/>
      <c r="D70" s="589"/>
      <c r="E70" s="43"/>
      <c r="G70" s="43"/>
      <c r="H70" s="42">
        <v>3</v>
      </c>
      <c r="I70" s="46">
        <v>7</v>
      </c>
      <c r="J70" s="64"/>
      <c r="K70" s="65"/>
      <c r="L70" s="46" t="s">
        <v>53</v>
      </c>
      <c r="M70" s="61"/>
      <c r="N70" s="172">
        <f>+N71</f>
        <v>126790</v>
      </c>
      <c r="O70" s="433"/>
      <c r="P70" s="48"/>
    </row>
    <row r="71" spans="1:16" x14ac:dyDescent="0.25">
      <c r="A71" s="587"/>
      <c r="B71" s="588"/>
      <c r="C71" s="43"/>
      <c r="D71" s="589"/>
      <c r="E71" s="43"/>
      <c r="G71" s="43"/>
      <c r="I71" s="43"/>
      <c r="J71" s="44">
        <v>1</v>
      </c>
      <c r="K71" s="45"/>
      <c r="L71" s="43" t="s">
        <v>52</v>
      </c>
      <c r="N71" s="315">
        <f>+N72</f>
        <v>126790</v>
      </c>
      <c r="O71" s="434"/>
      <c r="P71" s="48"/>
    </row>
    <row r="72" spans="1:16" x14ac:dyDescent="0.25">
      <c r="A72" s="587"/>
      <c r="B72" s="588"/>
      <c r="C72" s="43"/>
      <c r="D72" s="589"/>
      <c r="E72" s="43"/>
      <c r="G72" s="43"/>
      <c r="H72" s="42">
        <v>3</v>
      </c>
      <c r="I72" s="43">
        <v>7</v>
      </c>
      <c r="J72" s="44">
        <v>1</v>
      </c>
      <c r="K72" s="45" t="s">
        <v>35</v>
      </c>
      <c r="L72" s="43" t="s">
        <v>217</v>
      </c>
      <c r="N72" s="173">
        <f>ROUND(Calculo!$I$200,0)</f>
        <v>126790</v>
      </c>
      <c r="O72" s="434"/>
      <c r="P72" s="48"/>
    </row>
    <row r="73" spans="1:16" x14ac:dyDescent="0.25">
      <c r="A73" s="587"/>
      <c r="B73" s="588"/>
      <c r="C73" s="43"/>
      <c r="D73" s="589"/>
      <c r="E73" s="43"/>
      <c r="G73" s="43"/>
      <c r="H73" s="42">
        <v>3</v>
      </c>
      <c r="I73" s="46">
        <v>9</v>
      </c>
      <c r="J73" s="64"/>
      <c r="K73" s="65"/>
      <c r="L73" s="46" t="s">
        <v>54</v>
      </c>
      <c r="M73" s="61"/>
      <c r="N73" s="172">
        <f>+N74+N75</f>
        <v>273702</v>
      </c>
      <c r="O73" s="433"/>
      <c r="P73" s="48"/>
    </row>
    <row r="74" spans="1:16" x14ac:dyDescent="0.25">
      <c r="A74" s="587"/>
      <c r="B74" s="588"/>
      <c r="C74" s="43"/>
      <c r="D74" s="589"/>
      <c r="E74" s="43"/>
      <c r="G74" s="43"/>
      <c r="I74" s="43"/>
      <c r="J74" s="44">
        <v>1</v>
      </c>
      <c r="K74" s="45"/>
      <c r="L74" s="43" t="s">
        <v>55</v>
      </c>
      <c r="N74" s="166">
        <f>ROUND(Calculo!$I$207,0)</f>
        <v>9337</v>
      </c>
      <c r="O74" s="434"/>
      <c r="P74" s="48"/>
    </row>
    <row r="75" spans="1:16" ht="15.75" thickBot="1" x14ac:dyDescent="0.3">
      <c r="A75" s="592"/>
      <c r="B75" s="593"/>
      <c r="C75" s="594"/>
      <c r="D75" s="595"/>
      <c r="E75" s="594"/>
      <c r="F75" s="596"/>
      <c r="G75" s="594"/>
      <c r="H75" s="596"/>
      <c r="I75" s="594"/>
      <c r="J75" s="597">
        <v>9</v>
      </c>
      <c r="K75" s="598"/>
      <c r="L75" s="594" t="s">
        <v>56</v>
      </c>
      <c r="M75" s="597"/>
      <c r="N75" s="276">
        <f>ROUND(Calculo!$I$212,0)</f>
        <v>264365</v>
      </c>
      <c r="O75" s="599"/>
      <c r="P75" s="48"/>
    </row>
    <row r="76" spans="1:16" ht="15.75" thickBot="1" x14ac:dyDescent="0.3">
      <c r="A76" s="600"/>
      <c r="B76" s="601"/>
      <c r="C76" s="602"/>
      <c r="D76" s="603"/>
      <c r="E76" s="602"/>
      <c r="F76" s="602"/>
      <c r="G76" s="820" t="s">
        <v>15</v>
      </c>
      <c r="H76" s="820"/>
      <c r="I76" s="820"/>
      <c r="J76" s="821"/>
      <c r="K76" s="604"/>
      <c r="L76" s="604"/>
      <c r="M76" s="605"/>
      <c r="N76" s="459">
        <f>N14+N34+N63</f>
        <v>7011060.5</v>
      </c>
      <c r="O76" s="606"/>
    </row>
    <row r="77" spans="1:16" ht="15.75" thickTop="1" x14ac:dyDescent="0.25">
      <c r="A77" s="589"/>
      <c r="B77" s="589"/>
      <c r="D77" s="589"/>
      <c r="G77" s="607"/>
      <c r="H77" s="607"/>
      <c r="I77" s="607"/>
      <c r="J77" s="607"/>
      <c r="K77" s="607"/>
      <c r="L77" s="607"/>
      <c r="N77" s="159"/>
      <c r="O77" s="608"/>
    </row>
    <row r="78" spans="1:16" x14ac:dyDescent="0.25">
      <c r="A78" s="589"/>
      <c r="B78" s="589"/>
      <c r="D78" s="589"/>
      <c r="G78" s="607"/>
      <c r="H78" s="607"/>
      <c r="I78" s="607"/>
      <c r="J78" s="607"/>
      <c r="K78" s="607"/>
      <c r="L78" s="607"/>
      <c r="N78" s="159"/>
      <c r="O78" s="608"/>
    </row>
    <row r="79" spans="1:16" x14ac:dyDescent="0.25">
      <c r="N79" s="213"/>
    </row>
    <row r="80" spans="1:16" x14ac:dyDescent="0.25">
      <c r="A80" s="815" t="str">
        <f>+'Hoja4 - G'!A142</f>
        <v>LIC.  MARICELA CHECO</v>
      </c>
      <c r="B80" s="815"/>
      <c r="C80" s="815"/>
      <c r="D80" s="815"/>
      <c r="E80" s="815"/>
      <c r="F80" s="815"/>
      <c r="G80" s="815"/>
      <c r="H80" s="815"/>
      <c r="I80" s="815"/>
      <c r="J80" s="815"/>
      <c r="K80" s="815"/>
      <c r="L80" s="815" t="str">
        <f>+'Hoja4 - G'!L142</f>
        <v xml:space="preserve">FERNANDO DURÁN </v>
      </c>
      <c r="M80" s="815"/>
      <c r="N80" s="815"/>
      <c r="O80" s="815"/>
    </row>
    <row r="81" spans="1:15" x14ac:dyDescent="0.25">
      <c r="A81" s="816" t="s">
        <v>210</v>
      </c>
      <c r="B81" s="816"/>
      <c r="C81" s="816"/>
      <c r="D81" s="816"/>
      <c r="E81" s="816"/>
      <c r="F81" s="816"/>
      <c r="G81" s="816"/>
      <c r="H81" s="816"/>
      <c r="I81" s="816"/>
      <c r="J81" s="816"/>
      <c r="K81" s="816"/>
      <c r="L81" s="816" t="s">
        <v>213</v>
      </c>
      <c r="M81" s="816"/>
      <c r="N81" s="816"/>
      <c r="O81" s="816"/>
    </row>
    <row r="82" spans="1:15" x14ac:dyDescent="0.25">
      <c r="A82" s="816" t="str">
        <f>+'Hoja4 - G'!A144</f>
        <v xml:space="preserve">Contralor </v>
      </c>
      <c r="B82" s="816"/>
      <c r="C82" s="816"/>
      <c r="D82" s="816"/>
      <c r="E82" s="816"/>
      <c r="F82" s="816"/>
      <c r="G82" s="816"/>
      <c r="H82" s="816"/>
      <c r="I82" s="816"/>
      <c r="J82" s="816"/>
      <c r="K82" s="816"/>
      <c r="L82" s="816" t="str">
        <f>+'Hoja4 - G'!L144</f>
        <v>ADMINSTRADOR GENERAL</v>
      </c>
      <c r="M82" s="816"/>
      <c r="N82" s="816"/>
      <c r="O82" s="816"/>
    </row>
  </sheetData>
  <mergeCells count="14">
    <mergeCell ref="A11:G11"/>
    <mergeCell ref="G76:J76"/>
    <mergeCell ref="A1:O1"/>
    <mergeCell ref="A2:O2"/>
    <mergeCell ref="A10:J10"/>
    <mergeCell ref="M10:O10"/>
    <mergeCell ref="H11:L11"/>
    <mergeCell ref="L12:L13"/>
    <mergeCell ref="L80:O80"/>
    <mergeCell ref="A80:K80"/>
    <mergeCell ref="A81:K81"/>
    <mergeCell ref="L81:O81"/>
    <mergeCell ref="A82:K82"/>
    <mergeCell ref="L82:O82"/>
  </mergeCells>
  <phoneticPr fontId="0" type="noConversion"/>
  <pageMargins left="0.42" right="0.26" top="0.35" bottom="0.37" header="0.25" footer="0"/>
  <pageSetup scale="6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0"/>
  <sheetViews>
    <sheetView zoomScale="106" zoomScaleNormal="106" workbookViewId="0">
      <selection activeCell="A24" sqref="A24:XFD29"/>
    </sheetView>
  </sheetViews>
  <sheetFormatPr defaultColWidth="11.42578125" defaultRowHeight="15" x14ac:dyDescent="0.25"/>
  <cols>
    <col min="1" max="1" width="5.140625" style="152" customWidth="1"/>
    <col min="2" max="2" width="5.28515625" style="152" customWidth="1"/>
    <col min="3" max="3" width="5.5703125" style="152" bestFit="1" customWidth="1"/>
    <col min="4" max="4" width="8.7109375" style="152" customWidth="1"/>
    <col min="5" max="5" width="7.7109375" style="152" customWidth="1"/>
    <col min="6" max="6" width="6.28515625" style="152" bestFit="1" customWidth="1"/>
    <col min="7" max="7" width="7.7109375" style="152" customWidth="1"/>
    <col min="8" max="8" width="4.5703125" style="152" bestFit="1" customWidth="1"/>
    <col min="9" max="9" width="4.42578125" style="152" bestFit="1" customWidth="1"/>
    <col min="10" max="10" width="7.140625" style="152" bestFit="1" customWidth="1"/>
    <col min="11" max="11" width="7.28515625" style="152" bestFit="1" customWidth="1"/>
    <col min="12" max="12" width="4.140625" style="152" bestFit="1" customWidth="1"/>
    <col min="13" max="13" width="32.5703125" style="152" customWidth="1"/>
    <col min="14" max="14" width="13.42578125" style="152" customWidth="1"/>
    <col min="15" max="15" width="27" style="158" bestFit="1" customWidth="1"/>
    <col min="16" max="16" width="8.42578125" style="152" bestFit="1" customWidth="1"/>
    <col min="17" max="16384" width="11.42578125" style="152"/>
  </cols>
  <sheetData>
    <row r="1" spans="1:16" ht="15.75" thickBot="1" x14ac:dyDescent="0.3"/>
    <row r="2" spans="1:16" x14ac:dyDescent="0.25">
      <c r="A2" s="846" t="s">
        <v>594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8"/>
    </row>
    <row r="3" spans="1:16" x14ac:dyDescent="0.25">
      <c r="A3" s="849" t="s">
        <v>33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1"/>
    </row>
    <row r="4" spans="1:16" ht="18.75" x14ac:dyDescent="0.4">
      <c r="A4" s="367"/>
      <c r="O4" s="231" t="s">
        <v>157</v>
      </c>
      <c r="P4" s="154"/>
    </row>
    <row r="5" spans="1:16" x14ac:dyDescent="0.25">
      <c r="A5" s="367"/>
      <c r="P5" s="154"/>
    </row>
    <row r="6" spans="1:16" x14ac:dyDescent="0.25">
      <c r="A6" s="450" t="s">
        <v>564</v>
      </c>
      <c r="N6" s="451" t="str">
        <f>+'Hoja 6 - J'!M93</f>
        <v xml:space="preserve"> REGISTRO INTERNO DIGEPRES</v>
      </c>
      <c r="P6" s="154"/>
    </row>
    <row r="7" spans="1:16" x14ac:dyDescent="0.25">
      <c r="A7" s="450" t="s">
        <v>565</v>
      </c>
      <c r="N7" s="451" t="s">
        <v>1</v>
      </c>
      <c r="P7" s="154"/>
    </row>
    <row r="8" spans="1:16" x14ac:dyDescent="0.25">
      <c r="A8" s="450" t="str">
        <f>+'Hoja5 - I'!A7</f>
        <v>MES: DICIEMBRE</v>
      </c>
      <c r="N8" s="451" t="s">
        <v>2</v>
      </c>
      <c r="P8" s="154"/>
    </row>
    <row r="9" spans="1:16" ht="15.75" thickBot="1" x14ac:dyDescent="0.3">
      <c r="A9" s="538" t="str">
        <f>Hoja1!B9</f>
        <v>AÑO : 2022</v>
      </c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 t="s">
        <v>3</v>
      </c>
      <c r="O9" s="297"/>
      <c r="P9" s="537"/>
    </row>
    <row r="10" spans="1:16" ht="15.75" thickBot="1" x14ac:dyDescent="0.3">
      <c r="A10" s="369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70"/>
      <c r="O10" s="228"/>
      <c r="P10" s="371"/>
    </row>
    <row r="11" spans="1:16" s="373" customFormat="1" ht="12" x14ac:dyDescent="0.2">
      <c r="A11" s="852" t="s">
        <v>28</v>
      </c>
      <c r="B11" s="853"/>
      <c r="C11" s="853"/>
      <c r="D11" s="853"/>
      <c r="E11" s="853"/>
      <c r="F11" s="853"/>
      <c r="G11" s="853"/>
      <c r="H11" s="853"/>
      <c r="I11" s="853"/>
      <c r="J11" s="853"/>
      <c r="K11" s="853"/>
      <c r="L11" s="372"/>
      <c r="M11" s="372"/>
      <c r="N11" s="854" t="s">
        <v>32</v>
      </c>
      <c r="O11" s="853"/>
      <c r="P11" s="855"/>
    </row>
    <row r="12" spans="1:16" s="375" customFormat="1" ht="12" x14ac:dyDescent="0.2">
      <c r="A12" s="838" t="s">
        <v>9</v>
      </c>
      <c r="B12" s="839"/>
      <c r="C12" s="839"/>
      <c r="D12" s="839"/>
      <c r="E12" s="839"/>
      <c r="F12" s="839"/>
      <c r="G12" s="840"/>
      <c r="H12" s="374"/>
      <c r="I12" s="856" t="s">
        <v>27</v>
      </c>
      <c r="J12" s="857"/>
      <c r="K12" s="857"/>
      <c r="L12" s="857"/>
      <c r="M12" s="858"/>
      <c r="N12" s="436" t="s">
        <v>29</v>
      </c>
      <c r="O12" s="442" t="s">
        <v>30</v>
      </c>
      <c r="P12" s="437" t="s">
        <v>31</v>
      </c>
    </row>
    <row r="13" spans="1:16" s="381" customFormat="1" x14ac:dyDescent="0.25">
      <c r="A13" s="376"/>
      <c r="B13" s="160" t="s">
        <v>19</v>
      </c>
      <c r="C13" s="377"/>
      <c r="D13" s="160"/>
      <c r="E13" s="377"/>
      <c r="F13" s="160"/>
      <c r="G13" s="377"/>
      <c r="H13" s="160"/>
      <c r="I13" s="378"/>
      <c r="J13" s="160"/>
      <c r="K13" s="160"/>
      <c r="L13" s="160"/>
      <c r="M13" s="843"/>
      <c r="N13" s="379"/>
      <c r="O13" s="238"/>
      <c r="P13" s="380"/>
    </row>
    <row r="14" spans="1:16" s="375" customFormat="1" ht="12" thickBot="1" x14ac:dyDescent="0.25">
      <c r="A14" s="382" t="s">
        <v>18</v>
      </c>
      <c r="B14" s="383" t="s">
        <v>18</v>
      </c>
      <c r="C14" s="384" t="s">
        <v>20</v>
      </c>
      <c r="D14" s="383" t="s">
        <v>21</v>
      </c>
      <c r="E14" s="384" t="s">
        <v>22</v>
      </c>
      <c r="F14" s="383" t="s">
        <v>23</v>
      </c>
      <c r="G14" s="384" t="s">
        <v>24</v>
      </c>
      <c r="H14" s="383" t="s">
        <v>204</v>
      </c>
      <c r="I14" s="385" t="s">
        <v>25</v>
      </c>
      <c r="J14" s="383" t="s">
        <v>4</v>
      </c>
      <c r="K14" s="383" t="s">
        <v>26</v>
      </c>
      <c r="L14" s="383" t="s">
        <v>155</v>
      </c>
      <c r="M14" s="844"/>
      <c r="N14" s="386" t="s">
        <v>11</v>
      </c>
      <c r="O14" s="715" t="s">
        <v>12</v>
      </c>
      <c r="P14" s="387" t="s">
        <v>13</v>
      </c>
    </row>
    <row r="15" spans="1:16" x14ac:dyDescent="0.25">
      <c r="A15" s="388" t="s">
        <v>38</v>
      </c>
      <c r="B15" s="389" t="s">
        <v>36</v>
      </c>
      <c r="C15" s="38"/>
      <c r="D15" s="390" t="s">
        <v>36</v>
      </c>
      <c r="E15" s="38"/>
      <c r="F15" s="39" t="s">
        <v>179</v>
      </c>
      <c r="G15" s="391">
        <v>9998</v>
      </c>
      <c r="H15" s="38">
        <v>2</v>
      </c>
      <c r="I15" s="39">
        <v>4</v>
      </c>
      <c r="J15" s="38">
        <v>1</v>
      </c>
      <c r="K15" s="40">
        <v>1</v>
      </c>
      <c r="L15" s="40"/>
      <c r="M15" s="38" t="s">
        <v>95</v>
      </c>
      <c r="N15" s="39"/>
      <c r="O15" s="273">
        <f>+O16</f>
        <v>41683202</v>
      </c>
      <c r="P15" s="414"/>
    </row>
    <row r="16" spans="1:16" x14ac:dyDescent="0.25">
      <c r="A16" s="393"/>
      <c r="B16" s="394"/>
      <c r="C16" s="395"/>
      <c r="D16" s="396"/>
      <c r="E16" s="395"/>
      <c r="G16" s="36"/>
      <c r="H16" s="395"/>
      <c r="J16" s="37">
        <v>1</v>
      </c>
      <c r="K16" s="392"/>
      <c r="L16" s="392"/>
      <c r="M16" s="37" t="s">
        <v>128</v>
      </c>
      <c r="N16" s="368"/>
      <c r="O16" s="172">
        <f>+O17+O19+O20</f>
        <v>41683202</v>
      </c>
      <c r="P16" s="169"/>
    </row>
    <row r="17" spans="1:18" x14ac:dyDescent="0.25">
      <c r="A17" s="393"/>
      <c r="B17" s="394"/>
      <c r="C17" s="395"/>
      <c r="D17" s="396"/>
      <c r="E17" s="395"/>
      <c r="G17" s="36"/>
      <c r="H17" s="395"/>
      <c r="J17" s="395"/>
      <c r="K17" s="392">
        <v>1</v>
      </c>
      <c r="L17" s="397"/>
      <c r="M17" s="37" t="s">
        <v>96</v>
      </c>
      <c r="O17" s="172">
        <f>+O18</f>
        <v>41547692</v>
      </c>
      <c r="P17" s="170"/>
    </row>
    <row r="18" spans="1:18" x14ac:dyDescent="0.25">
      <c r="A18" s="393"/>
      <c r="B18" s="394"/>
      <c r="C18" s="395"/>
      <c r="D18" s="396"/>
      <c r="E18" s="395"/>
      <c r="G18" s="36"/>
      <c r="H18" s="395"/>
      <c r="J18" s="37"/>
      <c r="K18" s="397">
        <v>1</v>
      </c>
      <c r="L18" s="398" t="s">
        <v>35</v>
      </c>
      <c r="M18" s="395" t="s">
        <v>221</v>
      </c>
      <c r="N18" s="368"/>
      <c r="O18" s="166">
        <f>ROUND(Calculo!E223,0)</f>
        <v>41547692</v>
      </c>
      <c r="P18" s="169"/>
    </row>
    <row r="19" spans="1:18" x14ac:dyDescent="0.25">
      <c r="A19" s="393"/>
      <c r="B19" s="394"/>
      <c r="C19" s="395"/>
      <c r="D19" s="396"/>
      <c r="E19" s="395"/>
      <c r="G19" s="36"/>
      <c r="H19" s="395">
        <v>2</v>
      </c>
      <c r="I19" s="397">
        <v>4</v>
      </c>
      <c r="J19" s="392">
        <v>1</v>
      </c>
      <c r="K19" s="397">
        <v>2</v>
      </c>
      <c r="L19" s="398"/>
      <c r="M19" s="37" t="s">
        <v>127</v>
      </c>
      <c r="N19" s="368"/>
      <c r="O19" s="172">
        <f>O20+O21</f>
        <v>135510</v>
      </c>
      <c r="P19" s="169"/>
    </row>
    <row r="20" spans="1:18" hidden="1" x14ac:dyDescent="0.25">
      <c r="A20" s="393"/>
      <c r="B20" s="394"/>
      <c r="C20" s="395"/>
      <c r="D20" s="396"/>
      <c r="E20" s="395"/>
      <c r="G20" s="36"/>
      <c r="H20" s="395"/>
      <c r="I20" s="397"/>
      <c r="J20" s="397"/>
      <c r="K20" s="397">
        <v>4</v>
      </c>
      <c r="L20" s="398" t="s">
        <v>35</v>
      </c>
      <c r="M20" s="395" t="s">
        <v>97</v>
      </c>
      <c r="O20" s="166">
        <f>Calculo!E227</f>
        <v>0</v>
      </c>
      <c r="P20" s="170"/>
    </row>
    <row r="21" spans="1:18" x14ac:dyDescent="0.25">
      <c r="A21" s="393"/>
      <c r="B21" s="394"/>
      <c r="C21" s="395"/>
      <c r="D21" s="396"/>
      <c r="E21" s="395"/>
      <c r="G21" s="36"/>
      <c r="H21" s="395">
        <v>2</v>
      </c>
      <c r="I21" s="397">
        <v>4</v>
      </c>
      <c r="J21" s="397">
        <v>1</v>
      </c>
      <c r="K21" s="397">
        <v>2</v>
      </c>
      <c r="L21" s="398" t="s">
        <v>35</v>
      </c>
      <c r="M21" s="395" t="s">
        <v>222</v>
      </c>
      <c r="O21" s="173">
        <f>Calculo!E225</f>
        <v>135510</v>
      </c>
      <c r="P21" s="170"/>
    </row>
    <row r="22" spans="1:18" x14ac:dyDescent="0.25">
      <c r="A22" s="393"/>
      <c r="B22" s="394"/>
      <c r="C22" s="395"/>
      <c r="D22" s="396"/>
      <c r="E22" s="395"/>
      <c r="G22" s="36">
        <v>9998</v>
      </c>
      <c r="H22" s="37">
        <v>4</v>
      </c>
      <c r="I22" s="392">
        <v>2</v>
      </c>
      <c r="J22" s="392">
        <v>1</v>
      </c>
      <c r="K22" s="392">
        <v>1</v>
      </c>
      <c r="L22" s="392"/>
      <c r="M22" s="37" t="s">
        <v>205</v>
      </c>
      <c r="N22" s="368"/>
      <c r="O22" s="172">
        <f>+O23</f>
        <v>621386072.67999983</v>
      </c>
      <c r="P22" s="170"/>
    </row>
    <row r="23" spans="1:18" s="158" customFormat="1" x14ac:dyDescent="0.25">
      <c r="A23" s="214"/>
      <c r="B23" s="215"/>
      <c r="C23" s="216"/>
      <c r="D23" s="217"/>
      <c r="E23" s="216"/>
      <c r="G23" s="219"/>
      <c r="H23" s="216"/>
      <c r="J23" s="216"/>
      <c r="K23" s="274"/>
      <c r="L23" s="344" t="s">
        <v>35</v>
      </c>
      <c r="M23" s="216" t="s">
        <v>206</v>
      </c>
      <c r="O23" s="166">
        <f>Calculo!E264</f>
        <v>621386072.67999983</v>
      </c>
      <c r="P23" s="168"/>
    </row>
    <row r="24" spans="1:18" hidden="1" x14ac:dyDescent="0.25">
      <c r="A24" s="393"/>
      <c r="B24" s="394"/>
      <c r="C24" s="395"/>
      <c r="D24" s="396"/>
      <c r="E24" s="395"/>
      <c r="G24" s="36"/>
      <c r="H24" s="395">
        <v>4</v>
      </c>
      <c r="I24" s="368">
        <v>1</v>
      </c>
      <c r="J24" s="37">
        <v>1</v>
      </c>
      <c r="K24" s="392">
        <v>1</v>
      </c>
      <c r="L24" s="399"/>
      <c r="M24" s="37" t="s">
        <v>207</v>
      </c>
      <c r="O24" s="172">
        <f>+O25+O26</f>
        <v>0</v>
      </c>
      <c r="P24" s="170"/>
    </row>
    <row r="25" spans="1:18" s="158" customFormat="1" hidden="1" x14ac:dyDescent="0.25">
      <c r="A25" s="214"/>
      <c r="B25" s="215"/>
      <c r="C25" s="216"/>
      <c r="D25" s="217"/>
      <c r="E25" s="216"/>
      <c r="G25" s="219"/>
      <c r="H25" s="216"/>
      <c r="J25" s="216"/>
      <c r="K25" s="274"/>
      <c r="L25" s="344" t="s">
        <v>35</v>
      </c>
      <c r="M25" s="216" t="s">
        <v>129</v>
      </c>
      <c r="O25" s="166">
        <f>Calculo!E263</f>
        <v>0</v>
      </c>
      <c r="P25" s="168"/>
    </row>
    <row r="26" spans="1:18" hidden="1" x14ac:dyDescent="0.25">
      <c r="A26" s="214"/>
      <c r="B26" s="215"/>
      <c r="C26" s="216"/>
      <c r="D26" s="217"/>
      <c r="E26" s="216"/>
      <c r="F26" s="158"/>
      <c r="G26" s="219"/>
      <c r="H26" s="216"/>
      <c r="I26" s="158"/>
      <c r="J26" s="216"/>
      <c r="K26" s="274"/>
      <c r="L26" s="274"/>
      <c r="M26" s="216"/>
      <c r="N26" s="158"/>
      <c r="O26" s="166"/>
      <c r="P26" s="168"/>
    </row>
    <row r="27" spans="1:18" hidden="1" x14ac:dyDescent="0.25">
      <c r="A27" s="214"/>
      <c r="B27" s="215"/>
      <c r="C27" s="216"/>
      <c r="D27" s="217"/>
      <c r="E27" s="216"/>
      <c r="F27" s="158"/>
      <c r="G27" s="219">
        <v>9998</v>
      </c>
      <c r="H27" s="216">
        <v>2</v>
      </c>
      <c r="I27" s="222">
        <v>9</v>
      </c>
      <c r="J27" s="224"/>
      <c r="K27" s="275"/>
      <c r="L27" s="275"/>
      <c r="M27" s="224" t="s">
        <v>98</v>
      </c>
      <c r="N27" s="222"/>
      <c r="O27" s="172">
        <f>+O28</f>
        <v>0</v>
      </c>
      <c r="P27" s="66"/>
    </row>
    <row r="28" spans="1:18" hidden="1" x14ac:dyDescent="0.25">
      <c r="A28" s="214"/>
      <c r="B28" s="215"/>
      <c r="C28" s="216"/>
      <c r="D28" s="217"/>
      <c r="E28" s="216"/>
      <c r="F28" s="158"/>
      <c r="G28" s="219"/>
      <c r="H28" s="216">
        <v>2</v>
      </c>
      <c r="I28" s="158">
        <v>9</v>
      </c>
      <c r="J28" s="224">
        <v>3</v>
      </c>
      <c r="K28" s="275"/>
      <c r="L28" s="275"/>
      <c r="M28" s="224" t="s">
        <v>130</v>
      </c>
      <c r="N28" s="222"/>
      <c r="O28" s="172">
        <f>+O29</f>
        <v>0</v>
      </c>
      <c r="P28" s="66"/>
    </row>
    <row r="29" spans="1:18" hidden="1" x14ac:dyDescent="0.25">
      <c r="A29" s="214"/>
      <c r="B29" s="215"/>
      <c r="C29" s="216"/>
      <c r="D29" s="217"/>
      <c r="E29" s="216"/>
      <c r="F29" s="158"/>
      <c r="G29" s="219"/>
      <c r="H29" s="216">
        <v>2</v>
      </c>
      <c r="I29" s="158">
        <v>9</v>
      </c>
      <c r="J29" s="216">
        <v>3</v>
      </c>
      <c r="K29" s="274">
        <v>1</v>
      </c>
      <c r="L29" s="274"/>
      <c r="M29" s="400" t="s">
        <v>99</v>
      </c>
      <c r="N29" s="401"/>
      <c r="O29" s="166">
        <f>Calculo!E260</f>
        <v>0</v>
      </c>
      <c r="P29" s="435"/>
      <c r="Q29" s="401"/>
      <c r="R29" s="152" t="s">
        <v>233</v>
      </c>
    </row>
    <row r="30" spans="1:18" x14ac:dyDescent="0.25">
      <c r="A30" s="214"/>
      <c r="B30" s="215"/>
      <c r="C30" s="216"/>
      <c r="D30" s="217"/>
      <c r="E30" s="216"/>
      <c r="F30" s="158"/>
      <c r="G30" s="219"/>
      <c r="H30" s="216"/>
      <c r="I30" s="158"/>
      <c r="J30" s="216"/>
      <c r="K30" s="274"/>
      <c r="L30" s="274"/>
      <c r="M30" s="216"/>
      <c r="N30" s="158"/>
      <c r="O30" s="166"/>
      <c r="P30" s="168"/>
    </row>
    <row r="31" spans="1:18" x14ac:dyDescent="0.25">
      <c r="A31" s="393"/>
      <c r="B31" s="394"/>
      <c r="C31" s="395"/>
      <c r="D31" s="396"/>
      <c r="E31" s="395"/>
      <c r="G31" s="36"/>
      <c r="H31" s="216"/>
      <c r="I31" s="158"/>
      <c r="J31" s="216"/>
      <c r="K31" s="274"/>
      <c r="L31" s="274"/>
      <c r="M31" s="216"/>
      <c r="N31" s="158"/>
      <c r="O31" s="166"/>
      <c r="P31" s="168"/>
    </row>
    <row r="32" spans="1:18" x14ac:dyDescent="0.25">
      <c r="A32" s="393"/>
      <c r="B32" s="394"/>
      <c r="C32" s="395"/>
      <c r="D32" s="396"/>
      <c r="E32" s="395"/>
      <c r="G32" s="36"/>
      <c r="H32" s="395"/>
      <c r="J32" s="395"/>
      <c r="K32" s="397"/>
      <c r="L32" s="397"/>
      <c r="M32" s="395"/>
      <c r="O32" s="166"/>
      <c r="P32" s="170"/>
    </row>
    <row r="33" spans="1:16" x14ac:dyDescent="0.25">
      <c r="A33" s="393"/>
      <c r="B33" s="394"/>
      <c r="C33" s="395"/>
      <c r="D33" s="396"/>
      <c r="E33" s="395"/>
      <c r="G33" s="36"/>
      <c r="H33" s="395"/>
      <c r="J33" s="395"/>
      <c r="K33" s="397"/>
      <c r="L33" s="397"/>
      <c r="M33" s="395"/>
      <c r="O33" s="166"/>
      <c r="P33" s="170"/>
    </row>
    <row r="34" spans="1:16" x14ac:dyDescent="0.25">
      <c r="A34" s="393"/>
      <c r="B34" s="394"/>
      <c r="C34" s="395"/>
      <c r="D34" s="396"/>
      <c r="E34" s="395"/>
      <c r="G34" s="36"/>
      <c r="H34" s="395"/>
      <c r="J34" s="395"/>
      <c r="K34" s="397"/>
      <c r="L34" s="397"/>
      <c r="M34" s="395"/>
      <c r="O34" s="166"/>
      <c r="P34" s="170"/>
    </row>
    <row r="35" spans="1:16" x14ac:dyDescent="0.25">
      <c r="A35" s="393"/>
      <c r="B35" s="394"/>
      <c r="C35" s="395"/>
      <c r="D35" s="396"/>
      <c r="E35" s="395"/>
      <c r="G35" s="36"/>
      <c r="H35" s="395"/>
      <c r="J35" s="395"/>
      <c r="K35" s="397"/>
      <c r="L35" s="397"/>
      <c r="M35" s="395"/>
      <c r="O35" s="166"/>
      <c r="P35" s="170"/>
    </row>
    <row r="36" spans="1:16" x14ac:dyDescent="0.25">
      <c r="A36" s="393"/>
      <c r="B36" s="394"/>
      <c r="C36" s="395"/>
      <c r="D36" s="396"/>
      <c r="E36" s="395"/>
      <c r="F36" s="395"/>
      <c r="H36" s="395"/>
      <c r="J36" s="395"/>
      <c r="K36" s="397"/>
      <c r="L36" s="397"/>
      <c r="M36" s="395"/>
      <c r="O36" s="166"/>
      <c r="P36" s="170"/>
    </row>
    <row r="37" spans="1:16" x14ac:dyDescent="0.25">
      <c r="A37" s="393"/>
      <c r="B37" s="394"/>
      <c r="C37" s="395"/>
      <c r="D37" s="396"/>
      <c r="E37" s="395"/>
      <c r="F37" s="395"/>
      <c r="H37" s="395"/>
      <c r="J37" s="395"/>
      <c r="K37" s="397"/>
      <c r="L37" s="397"/>
      <c r="M37" s="395"/>
      <c r="O37" s="166"/>
      <c r="P37" s="170"/>
    </row>
    <row r="38" spans="1:16" x14ac:dyDescent="0.25">
      <c r="A38" s="393"/>
      <c r="B38" s="394"/>
      <c r="C38" s="395"/>
      <c r="D38" s="396"/>
      <c r="E38" s="395"/>
      <c r="F38" s="395"/>
      <c r="H38" s="395"/>
      <c r="J38" s="395"/>
      <c r="K38" s="395"/>
      <c r="L38" s="395"/>
      <c r="M38" s="395"/>
      <c r="O38" s="166"/>
      <c r="P38" s="170"/>
    </row>
    <row r="39" spans="1:16" x14ac:dyDescent="0.25">
      <c r="A39" s="393"/>
      <c r="B39" s="394"/>
      <c r="C39" s="395"/>
      <c r="D39" s="396"/>
      <c r="E39" s="395"/>
      <c r="F39" s="395"/>
      <c r="H39" s="395"/>
      <c r="J39" s="36"/>
      <c r="K39" s="395"/>
      <c r="L39" s="395"/>
      <c r="M39" s="395"/>
      <c r="O39" s="166"/>
      <c r="P39" s="170"/>
    </row>
    <row r="40" spans="1:16" ht="15.75" thickBot="1" x14ac:dyDescent="0.3">
      <c r="A40" s="402"/>
      <c r="B40" s="403"/>
      <c r="C40" s="404"/>
      <c r="D40" s="405"/>
      <c r="E40" s="404"/>
      <c r="F40" s="404"/>
      <c r="G40" s="153"/>
      <c r="H40" s="404"/>
      <c r="I40" s="153"/>
      <c r="J40" s="406"/>
      <c r="K40" s="404"/>
      <c r="L40" s="404"/>
      <c r="M40" s="404"/>
      <c r="N40" s="153"/>
      <c r="O40" s="276"/>
      <c r="P40" s="171"/>
    </row>
    <row r="41" spans="1:16" ht="15.75" thickBot="1" x14ac:dyDescent="0.3">
      <c r="A41" s="407"/>
      <c r="B41" s="408"/>
      <c r="C41" s="409"/>
      <c r="D41" s="410"/>
      <c r="E41" s="409"/>
      <c r="F41" s="409"/>
      <c r="G41" s="841" t="s">
        <v>41</v>
      </c>
      <c r="H41" s="841"/>
      <c r="I41" s="841"/>
      <c r="J41" s="841"/>
      <c r="K41" s="842"/>
      <c r="L41" s="411"/>
      <c r="M41" s="411"/>
      <c r="N41" s="412"/>
      <c r="O41" s="282">
        <f>O15+O22+O27+O24</f>
        <v>663069274.67999983</v>
      </c>
      <c r="P41" s="539"/>
    </row>
    <row r="42" spans="1:16" ht="15.75" thickTop="1" x14ac:dyDescent="0.25">
      <c r="N42" s="158"/>
    </row>
    <row r="43" spans="1:16" x14ac:dyDescent="0.25">
      <c r="A43" s="368" t="s">
        <v>40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222"/>
      <c r="O43" s="175">
        <f>'Hoja2 - F'!N122+'Hoja4 - G'!N128+'Hoja3 - H'!O137+'Hoja5 - I'!N76+'Hoja5 (2)'!O41+'Hoja 6 - J'!N128</f>
        <v>3237344955.6300001</v>
      </c>
      <c r="P43" s="174"/>
    </row>
    <row r="44" spans="1:16" x14ac:dyDescent="0.25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222"/>
      <c r="O44" s="469">
        <f>O43-Hoja1!I53</f>
        <v>0</v>
      </c>
      <c r="P44" s="175"/>
    </row>
    <row r="45" spans="1:16" x14ac:dyDescent="0.25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222"/>
      <c r="O45" s="645"/>
      <c r="P45" s="175"/>
    </row>
    <row r="46" spans="1:16" x14ac:dyDescent="0.25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222"/>
      <c r="O46" s="453"/>
      <c r="P46" s="175"/>
    </row>
    <row r="47" spans="1:16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222"/>
      <c r="O47" s="453"/>
      <c r="P47" s="175"/>
    </row>
    <row r="48" spans="1:16" x14ac:dyDescent="0.25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222"/>
      <c r="O48" s="453"/>
      <c r="P48" s="175"/>
    </row>
    <row r="49" spans="1:16" x14ac:dyDescent="0.2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222"/>
      <c r="O49" s="453"/>
      <c r="P49" s="175"/>
    </row>
    <row r="50" spans="1:16" x14ac:dyDescent="0.25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222"/>
      <c r="O50" s="453"/>
      <c r="P50" s="175"/>
    </row>
    <row r="51" spans="1:16" x14ac:dyDescent="0.25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222"/>
      <c r="O51" s="453"/>
      <c r="P51" s="175"/>
    </row>
    <row r="52" spans="1:16" x14ac:dyDescent="0.25">
      <c r="A52" s="368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222"/>
      <c r="O52" s="453"/>
      <c r="P52" s="175"/>
    </row>
    <row r="53" spans="1:16" x14ac:dyDescent="0.25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222"/>
      <c r="O53" s="453"/>
      <c r="P53" s="175"/>
    </row>
    <row r="54" spans="1:16" x14ac:dyDescent="0.25">
      <c r="A54" s="368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222"/>
      <c r="O54" s="453"/>
      <c r="P54" s="175"/>
    </row>
    <row r="55" spans="1:16" x14ac:dyDescent="0.25">
      <c r="N55" s="158"/>
      <c r="O55" s="156"/>
      <c r="P55" s="158"/>
    </row>
    <row r="56" spans="1:16" x14ac:dyDescent="0.25">
      <c r="A56" s="845" t="str">
        <f>+'Hoja5 - I'!A80</f>
        <v>LIC.  MARICELA CHECO</v>
      </c>
      <c r="B56" s="845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 t="str">
        <f>+'Hoja5 - I'!L80</f>
        <v xml:space="preserve">FERNANDO DURÁN </v>
      </c>
      <c r="N56" s="845"/>
      <c r="O56" s="845"/>
      <c r="P56" s="845"/>
    </row>
    <row r="57" spans="1:16" x14ac:dyDescent="0.25">
      <c r="A57" s="837" t="s">
        <v>210</v>
      </c>
      <c r="B57" s="837"/>
      <c r="C57" s="837"/>
      <c r="D57" s="837"/>
      <c r="E57" s="837"/>
      <c r="F57" s="837"/>
      <c r="G57" s="837"/>
      <c r="H57" s="837"/>
      <c r="I57" s="837"/>
      <c r="J57" s="837"/>
      <c r="K57" s="837"/>
      <c r="L57" s="837"/>
      <c r="M57" s="837" t="s">
        <v>213</v>
      </c>
      <c r="N57" s="837"/>
      <c r="O57" s="837"/>
      <c r="P57" s="837"/>
    </row>
    <row r="58" spans="1:16" x14ac:dyDescent="0.25">
      <c r="B58" s="413"/>
      <c r="C58" s="413"/>
      <c r="D58" s="837" t="str">
        <f>+'Hoja5 - I'!A82</f>
        <v xml:space="preserve">Contralor </v>
      </c>
      <c r="E58" s="837"/>
      <c r="F58" s="837"/>
      <c r="G58" s="837"/>
      <c r="H58" s="837"/>
      <c r="I58" s="837"/>
      <c r="J58" s="837"/>
      <c r="K58" s="413"/>
      <c r="L58" s="413"/>
      <c r="M58" s="837" t="str">
        <f>+'Hoja5 - I'!L82</f>
        <v>ADMINSTRADOR GENERAL</v>
      </c>
      <c r="N58" s="837"/>
      <c r="O58" s="837"/>
      <c r="P58" s="837"/>
    </row>
    <row r="60" spans="1:16" x14ac:dyDescent="0.25">
      <c r="P60" s="155"/>
    </row>
  </sheetData>
  <mergeCells count="14">
    <mergeCell ref="A2:P2"/>
    <mergeCell ref="A3:P3"/>
    <mergeCell ref="A11:K11"/>
    <mergeCell ref="N11:P11"/>
    <mergeCell ref="I12:M12"/>
    <mergeCell ref="A57:L57"/>
    <mergeCell ref="M57:P57"/>
    <mergeCell ref="M58:P58"/>
    <mergeCell ref="A12:G12"/>
    <mergeCell ref="G41:K41"/>
    <mergeCell ref="M13:M14"/>
    <mergeCell ref="A56:L56"/>
    <mergeCell ref="M56:P56"/>
    <mergeCell ref="D58:J58"/>
  </mergeCells>
  <phoneticPr fontId="0" type="noConversion"/>
  <pageMargins left="0.63" right="0.33" top="0.67" bottom="0.28999999999999998" header="0" footer="0"/>
  <pageSetup scale="62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46"/>
  <sheetViews>
    <sheetView zoomScaleNormal="100" zoomScaleSheetLayoutView="100" workbookViewId="0">
      <selection activeCell="M13" sqref="M13"/>
    </sheetView>
  </sheetViews>
  <sheetFormatPr defaultColWidth="11.42578125" defaultRowHeight="15" x14ac:dyDescent="0.25"/>
  <cols>
    <col min="1" max="1" width="12" style="158" customWidth="1"/>
    <col min="2" max="2" width="5.7109375" style="158" bestFit="1" customWidth="1"/>
    <col min="3" max="3" width="5" style="158" customWidth="1"/>
    <col min="4" max="4" width="8.7109375" style="158" customWidth="1"/>
    <col min="5" max="5" width="7.7109375" style="158" customWidth="1"/>
    <col min="6" max="6" width="6" style="158" customWidth="1"/>
    <col min="7" max="7" width="6.42578125" style="158" customWidth="1"/>
    <col min="8" max="8" width="4.140625" style="158" customWidth="1"/>
    <col min="9" max="9" width="6.5703125" style="158" customWidth="1"/>
    <col min="10" max="10" width="8.42578125" style="158" customWidth="1"/>
    <col min="11" max="11" width="6.7109375" style="158" customWidth="1"/>
    <col min="12" max="12" width="38.85546875" style="158" customWidth="1"/>
    <col min="13" max="13" width="12.5703125" style="158" customWidth="1"/>
    <col min="14" max="14" width="14.7109375" style="158" customWidth="1"/>
    <col min="15" max="15" width="14.5703125" style="158" customWidth="1"/>
    <col min="16" max="16" width="12.85546875" style="158" bestFit="1" customWidth="1"/>
    <col min="17" max="17" width="1.28515625" style="158" customWidth="1"/>
    <col min="18" max="16384" width="11.42578125" style="158"/>
  </cols>
  <sheetData>
    <row r="1" spans="1:17" ht="15.75" thickBot="1" x14ac:dyDescent="0.3"/>
    <row r="2" spans="1:17" x14ac:dyDescent="0.25">
      <c r="A2" s="746" t="s">
        <v>590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8"/>
    </row>
    <row r="3" spans="1:17" x14ac:dyDescent="0.25">
      <c r="A3" s="761" t="s">
        <v>33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3"/>
    </row>
    <row r="4" spans="1:17" ht="18.75" x14ac:dyDescent="0.4">
      <c r="A4" s="230"/>
      <c r="N4" s="231" t="s">
        <v>157</v>
      </c>
      <c r="O4" s="232"/>
    </row>
    <row r="5" spans="1:17" x14ac:dyDescent="0.25">
      <c r="A5" s="230"/>
      <c r="O5" s="232"/>
    </row>
    <row r="6" spans="1:17" x14ac:dyDescent="0.25">
      <c r="A6" s="294" t="s">
        <v>564</v>
      </c>
      <c r="M6" s="295" t="str">
        <f>+'Hoja5 - I'!M5</f>
        <v xml:space="preserve"> REGISTRO INTERNO DIGEPRES</v>
      </c>
      <c r="O6" s="232"/>
    </row>
    <row r="7" spans="1:17" x14ac:dyDescent="0.25">
      <c r="A7" s="294" t="s">
        <v>565</v>
      </c>
      <c r="M7" s="295" t="s">
        <v>1</v>
      </c>
      <c r="O7" s="232"/>
    </row>
    <row r="8" spans="1:17" x14ac:dyDescent="0.25">
      <c r="A8" s="294" t="str">
        <f>+Hoja1!B8</f>
        <v>MES: DICIEMBRE</v>
      </c>
      <c r="M8" s="295" t="s">
        <v>2</v>
      </c>
      <c r="O8" s="232"/>
    </row>
    <row r="9" spans="1:17" ht="15.75" thickBot="1" x14ac:dyDescent="0.3">
      <c r="A9" s="296" t="str">
        <f>+Hoja1!B9</f>
        <v>AÑO : 2022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 t="s">
        <v>3</v>
      </c>
      <c r="N9" s="297"/>
      <c r="O9" s="537"/>
    </row>
    <row r="10" spans="1:17" ht="15.75" thickBot="1" x14ac:dyDescent="0.3"/>
    <row r="11" spans="1:17" s="212" customFormat="1" ht="15.75" thickBot="1" x14ac:dyDescent="0.3">
      <c r="A11" s="751" t="s">
        <v>28</v>
      </c>
      <c r="B11" s="752"/>
      <c r="C11" s="752"/>
      <c r="D11" s="752"/>
      <c r="E11" s="752"/>
      <c r="F11" s="752"/>
      <c r="G11" s="752"/>
      <c r="H11" s="752"/>
      <c r="I11" s="752"/>
      <c r="J11" s="752"/>
      <c r="K11" s="540"/>
      <c r="L11" s="540"/>
      <c r="M11" s="770" t="s">
        <v>32</v>
      </c>
      <c r="N11" s="752"/>
      <c r="O11" s="771"/>
    </row>
    <row r="12" spans="1:17" s="212" customFormat="1" x14ac:dyDescent="0.25">
      <c r="A12" s="743" t="s">
        <v>9</v>
      </c>
      <c r="B12" s="744"/>
      <c r="C12" s="744"/>
      <c r="D12" s="744"/>
      <c r="E12" s="744"/>
      <c r="F12" s="744"/>
      <c r="G12" s="745"/>
      <c r="H12" s="770" t="s">
        <v>27</v>
      </c>
      <c r="I12" s="752"/>
      <c r="J12" s="752"/>
      <c r="K12" s="752"/>
      <c r="L12" s="772"/>
      <c r="M12" s="438" t="s">
        <v>29</v>
      </c>
      <c r="N12" s="439" t="s">
        <v>30</v>
      </c>
      <c r="O12" s="440" t="s">
        <v>31</v>
      </c>
    </row>
    <row r="13" spans="1:17" s="212" customFormat="1" x14ac:dyDescent="0.25">
      <c r="A13" s="236"/>
      <c r="B13" s="265" t="s">
        <v>19</v>
      </c>
      <c r="C13" s="551"/>
      <c r="D13" s="543"/>
      <c r="E13" s="551"/>
      <c r="F13" s="543"/>
      <c r="G13" s="551"/>
      <c r="H13" s="543"/>
      <c r="I13" s="550"/>
      <c r="J13" s="543"/>
      <c r="K13" s="543"/>
      <c r="L13" s="765"/>
      <c r="M13" s="237"/>
      <c r="N13" s="238"/>
      <c r="O13" s="239"/>
    </row>
    <row r="14" spans="1:17" s="212" customFormat="1" ht="15.75" thickBot="1" x14ac:dyDescent="0.3">
      <c r="A14" s="240" t="s">
        <v>18</v>
      </c>
      <c r="B14" s="241" t="s">
        <v>18</v>
      </c>
      <c r="C14" s="242" t="s">
        <v>20</v>
      </c>
      <c r="D14" s="241" t="s">
        <v>21</v>
      </c>
      <c r="E14" s="242" t="s">
        <v>22</v>
      </c>
      <c r="F14" s="241" t="s">
        <v>23</v>
      </c>
      <c r="G14" s="242" t="s">
        <v>44</v>
      </c>
      <c r="H14" s="241" t="s">
        <v>25</v>
      </c>
      <c r="I14" s="243" t="s">
        <v>4</v>
      </c>
      <c r="J14" s="241" t="s">
        <v>26</v>
      </c>
      <c r="K14" s="241" t="s">
        <v>155</v>
      </c>
      <c r="L14" s="766"/>
      <c r="M14" s="245" t="s">
        <v>11</v>
      </c>
      <c r="N14" s="245" t="s">
        <v>12</v>
      </c>
      <c r="O14" s="246" t="s">
        <v>13</v>
      </c>
    </row>
    <row r="15" spans="1:17" x14ac:dyDescent="0.25">
      <c r="A15" s="247" t="s">
        <v>38</v>
      </c>
      <c r="B15" s="248" t="s">
        <v>36</v>
      </c>
      <c r="C15" s="249"/>
      <c r="D15" s="250" t="s">
        <v>35</v>
      </c>
      <c r="E15" s="249"/>
      <c r="F15" s="218" t="s">
        <v>179</v>
      </c>
      <c r="G15" s="249"/>
      <c r="H15" s="251">
        <v>1</v>
      </c>
      <c r="I15" s="252">
        <v>1</v>
      </c>
      <c r="J15" s="249">
        <v>1</v>
      </c>
      <c r="K15" s="225"/>
      <c r="L15" s="222" t="s">
        <v>57</v>
      </c>
      <c r="M15" s="172"/>
      <c r="N15" s="253">
        <f>+N16+N26+N33+N30</f>
        <v>3206909</v>
      </c>
      <c r="O15" s="167"/>
      <c r="P15" s="226"/>
    </row>
    <row r="16" spans="1:17" x14ac:dyDescent="0.25">
      <c r="A16" s="214"/>
      <c r="B16" s="215"/>
      <c r="C16" s="216"/>
      <c r="D16" s="217"/>
      <c r="E16" s="216"/>
      <c r="G16" s="216"/>
      <c r="H16" s="158">
        <v>1</v>
      </c>
      <c r="I16" s="219">
        <v>1</v>
      </c>
      <c r="J16" s="216"/>
      <c r="K16" s="225"/>
      <c r="L16" s="222" t="s">
        <v>58</v>
      </c>
      <c r="M16" s="172"/>
      <c r="N16" s="68">
        <f>+N17+N20+N23+N24</f>
        <v>2998935</v>
      </c>
      <c r="O16" s="66"/>
      <c r="P16" s="221"/>
      <c r="Q16" s="213"/>
    </row>
    <row r="17" spans="1:17" x14ac:dyDescent="0.25">
      <c r="A17" s="214"/>
      <c r="B17" s="215"/>
      <c r="C17" s="216"/>
      <c r="D17" s="217"/>
      <c r="E17" s="216"/>
      <c r="G17" s="216"/>
      <c r="I17" s="219"/>
      <c r="J17" s="216">
        <v>1</v>
      </c>
      <c r="K17" s="225"/>
      <c r="L17" s="222" t="s">
        <v>59</v>
      </c>
      <c r="M17" s="172"/>
      <c r="N17" s="68">
        <f>+N18+N19</f>
        <v>1826886</v>
      </c>
      <c r="O17" s="66"/>
      <c r="Q17" s="213"/>
    </row>
    <row r="18" spans="1:17" x14ac:dyDescent="0.25">
      <c r="A18" s="214"/>
      <c r="B18" s="215"/>
      <c r="C18" s="216"/>
      <c r="D18" s="217"/>
      <c r="E18" s="216"/>
      <c r="G18" s="218" t="s">
        <v>43</v>
      </c>
      <c r="I18" s="219"/>
      <c r="J18" s="216"/>
      <c r="K18" s="220" t="s">
        <v>35</v>
      </c>
      <c r="L18" s="158" t="s">
        <v>103</v>
      </c>
      <c r="M18" s="166"/>
      <c r="N18" s="71">
        <f>ROUND(Hoja1!I19*0.03,0)</f>
        <v>1153929</v>
      </c>
      <c r="O18" s="168"/>
      <c r="P18" s="221"/>
      <c r="Q18" s="213"/>
    </row>
    <row r="19" spans="1:17" x14ac:dyDescent="0.25">
      <c r="A19" s="214"/>
      <c r="B19" s="215"/>
      <c r="C19" s="216"/>
      <c r="D19" s="217"/>
      <c r="E19" s="216"/>
      <c r="G19" s="218" t="s">
        <v>45</v>
      </c>
      <c r="I19" s="219"/>
      <c r="J19" s="216"/>
      <c r="K19" s="220" t="s">
        <v>35</v>
      </c>
      <c r="L19" s="158" t="s">
        <v>103</v>
      </c>
      <c r="M19" s="166"/>
      <c r="N19" s="71">
        <f>ROUND(Calculo!$J$52-N18,0)</f>
        <v>672957</v>
      </c>
      <c r="O19" s="168"/>
      <c r="P19" s="221"/>
      <c r="Q19" s="213"/>
    </row>
    <row r="20" spans="1:17" x14ac:dyDescent="0.25">
      <c r="A20" s="214"/>
      <c r="B20" s="215"/>
      <c r="C20" s="216"/>
      <c r="D20" s="217"/>
      <c r="E20" s="216"/>
      <c r="G20" s="216">
        <v>9998</v>
      </c>
      <c r="H20" s="222"/>
      <c r="I20" s="223"/>
      <c r="J20" s="224">
        <v>2</v>
      </c>
      <c r="K20" s="225"/>
      <c r="L20" s="158" t="s">
        <v>60</v>
      </c>
      <c r="M20" s="172"/>
      <c r="N20" s="68">
        <f>N21+N22</f>
        <v>6593</v>
      </c>
      <c r="O20" s="66"/>
      <c r="P20" s="221"/>
      <c r="Q20" s="213"/>
    </row>
    <row r="21" spans="1:17" x14ac:dyDescent="0.25">
      <c r="A21" s="214"/>
      <c r="B21" s="215"/>
      <c r="C21" s="216"/>
      <c r="D21" s="217"/>
      <c r="E21" s="216"/>
      <c r="G21" s="216"/>
      <c r="I21" s="219"/>
      <c r="J21" s="216"/>
      <c r="K21" s="220" t="s">
        <v>197</v>
      </c>
      <c r="L21" s="158" t="s">
        <v>566</v>
      </c>
      <c r="M21" s="166"/>
      <c r="N21" s="71">
        <f>ROUND(Calculo!$J$55,0)</f>
        <v>6593</v>
      </c>
      <c r="O21" s="66"/>
      <c r="P21" s="221"/>
      <c r="Q21" s="213"/>
    </row>
    <row r="22" spans="1:17" hidden="1" x14ac:dyDescent="0.25">
      <c r="A22" s="214"/>
      <c r="B22" s="215"/>
      <c r="C22" s="216"/>
      <c r="D22" s="217"/>
      <c r="E22" s="216"/>
      <c r="G22" s="218" t="s">
        <v>43</v>
      </c>
      <c r="H22" s="158">
        <v>1</v>
      </c>
      <c r="I22" s="219">
        <v>1</v>
      </c>
      <c r="J22" s="216">
        <v>2</v>
      </c>
      <c r="K22" s="220" t="s">
        <v>198</v>
      </c>
      <c r="L22" s="158" t="s">
        <v>225</v>
      </c>
      <c r="M22" s="166"/>
      <c r="N22" s="71">
        <f>Calculo!J56</f>
        <v>0</v>
      </c>
      <c r="O22" s="66"/>
      <c r="P22" s="221"/>
      <c r="Q22" s="213"/>
    </row>
    <row r="23" spans="1:17" x14ac:dyDescent="0.25">
      <c r="A23" s="214"/>
      <c r="B23" s="215"/>
      <c r="C23" s="216"/>
      <c r="D23" s="217"/>
      <c r="E23" s="216"/>
      <c r="G23" s="216">
        <v>9998</v>
      </c>
      <c r="I23" s="219"/>
      <c r="J23" s="224">
        <v>4</v>
      </c>
      <c r="K23" s="220"/>
      <c r="L23" s="158" t="s">
        <v>104</v>
      </c>
      <c r="M23" s="166"/>
      <c r="N23" s="71">
        <f>ROUND(Calculo!$J$61,0)</f>
        <v>387481</v>
      </c>
      <c r="O23" s="66"/>
      <c r="P23" s="221"/>
      <c r="Q23" s="213"/>
    </row>
    <row r="24" spans="1:17" x14ac:dyDescent="0.25">
      <c r="A24" s="214"/>
      <c r="B24" s="215"/>
      <c r="C24" s="216"/>
      <c r="D24" s="217"/>
      <c r="E24" s="216"/>
      <c r="G24" s="216">
        <v>9998</v>
      </c>
      <c r="I24" s="219"/>
      <c r="J24" s="224">
        <v>5</v>
      </c>
      <c r="K24" s="220"/>
      <c r="L24" s="158" t="s">
        <v>61</v>
      </c>
      <c r="M24" s="166"/>
      <c r="N24" s="68">
        <f>+N25</f>
        <v>777975</v>
      </c>
      <c r="O24" s="168"/>
      <c r="P24" s="221"/>
      <c r="Q24" s="213"/>
    </row>
    <row r="25" spans="1:17" x14ac:dyDescent="0.25">
      <c r="A25" s="214"/>
      <c r="B25" s="215"/>
      <c r="C25" s="216"/>
      <c r="D25" s="217"/>
      <c r="E25" s="216"/>
      <c r="G25" s="216"/>
      <c r="I25" s="219"/>
      <c r="J25" s="216"/>
      <c r="K25" s="220" t="s">
        <v>35</v>
      </c>
      <c r="L25" s="158" t="s">
        <v>61</v>
      </c>
      <c r="M25" s="166"/>
      <c r="N25" s="71">
        <f>ROUND(Calculo!$J$66,0)</f>
        <v>777975</v>
      </c>
      <c r="O25" s="168"/>
      <c r="P25" s="221"/>
      <c r="Q25" s="213"/>
    </row>
    <row r="26" spans="1:17" x14ac:dyDescent="0.25">
      <c r="A26" s="214"/>
      <c r="B26" s="215"/>
      <c r="C26" s="216"/>
      <c r="D26" s="217"/>
      <c r="E26" s="216"/>
      <c r="F26" s="158">
        <v>102</v>
      </c>
      <c r="G26" s="216">
        <v>9998</v>
      </c>
      <c r="H26" s="222">
        <v>1</v>
      </c>
      <c r="I26" s="223">
        <v>2</v>
      </c>
      <c r="J26" s="224"/>
      <c r="K26" s="225"/>
      <c r="L26" s="222" t="s">
        <v>100</v>
      </c>
      <c r="M26" s="172"/>
      <c r="N26" s="68">
        <f>+N27</f>
        <v>29277</v>
      </c>
      <c r="O26" s="66"/>
      <c r="P26" s="221"/>
      <c r="Q26" s="213"/>
    </row>
    <row r="27" spans="1:17" x14ac:dyDescent="0.25">
      <c r="A27" s="214"/>
      <c r="B27" s="215"/>
      <c r="C27" s="216"/>
      <c r="D27" s="217"/>
      <c r="E27" s="216"/>
      <c r="G27" s="216"/>
      <c r="I27" s="219"/>
      <c r="J27" s="224">
        <v>2</v>
      </c>
      <c r="K27" s="220"/>
      <c r="L27" s="158" t="s">
        <v>105</v>
      </c>
      <c r="M27" s="166"/>
      <c r="N27" s="71">
        <f>+N28+N29</f>
        <v>29277</v>
      </c>
      <c r="O27" s="168"/>
      <c r="P27" s="221"/>
      <c r="Q27" s="213"/>
    </row>
    <row r="28" spans="1:17" hidden="1" x14ac:dyDescent="0.25">
      <c r="A28" s="214"/>
      <c r="B28" s="215"/>
      <c r="C28" s="216"/>
      <c r="D28" s="217"/>
      <c r="E28" s="216"/>
      <c r="G28" s="216"/>
      <c r="I28" s="219"/>
      <c r="J28" s="216"/>
      <c r="K28" s="220" t="s">
        <v>37</v>
      </c>
      <c r="L28" s="158" t="s">
        <v>107</v>
      </c>
      <c r="M28" s="166"/>
      <c r="N28" s="71">
        <f>Calculo!J72</f>
        <v>0</v>
      </c>
      <c r="O28" s="168"/>
      <c r="P28" s="221"/>
      <c r="Q28" s="213"/>
    </row>
    <row r="29" spans="1:17" x14ac:dyDescent="0.25">
      <c r="A29" s="214"/>
      <c r="B29" s="215"/>
      <c r="C29" s="216"/>
      <c r="D29" s="217"/>
      <c r="E29" s="216"/>
      <c r="G29" s="216"/>
      <c r="I29" s="219"/>
      <c r="J29" s="216"/>
      <c r="K29" s="220" t="s">
        <v>208</v>
      </c>
      <c r="L29" s="158" t="s">
        <v>108</v>
      </c>
      <c r="M29" s="166"/>
      <c r="N29" s="71">
        <f>ROUND(Calculo!$J$70,0)</f>
        <v>29277</v>
      </c>
      <c r="O29" s="168"/>
      <c r="P29" s="221"/>
      <c r="Q29" s="213"/>
    </row>
    <row r="30" spans="1:17" x14ac:dyDescent="0.25">
      <c r="A30" s="214"/>
      <c r="B30" s="215"/>
      <c r="C30" s="216"/>
      <c r="D30" s="217"/>
      <c r="E30" s="216"/>
      <c r="G30" s="216">
        <v>9998</v>
      </c>
      <c r="H30" s="222">
        <v>1</v>
      </c>
      <c r="I30" s="223">
        <v>4</v>
      </c>
      <c r="J30" s="216"/>
      <c r="K30" s="220"/>
      <c r="L30" s="222" t="s">
        <v>109</v>
      </c>
      <c r="M30" s="166"/>
      <c r="N30" s="68">
        <f>+N31</f>
        <v>49254</v>
      </c>
      <c r="O30" s="168"/>
      <c r="P30" s="221"/>
      <c r="Q30" s="213"/>
    </row>
    <row r="31" spans="1:17" x14ac:dyDescent="0.25">
      <c r="A31" s="214"/>
      <c r="B31" s="215"/>
      <c r="C31" s="216"/>
      <c r="D31" s="217"/>
      <c r="E31" s="216"/>
      <c r="G31" s="216"/>
      <c r="I31" s="219"/>
      <c r="J31" s="216">
        <v>2</v>
      </c>
      <c r="K31" s="220"/>
      <c r="L31" s="158" t="s">
        <v>63</v>
      </c>
      <c r="M31" s="166"/>
      <c r="N31" s="71">
        <f>+N32</f>
        <v>49254</v>
      </c>
      <c r="O31" s="168"/>
      <c r="P31" s="226"/>
      <c r="Q31" s="213"/>
    </row>
    <row r="32" spans="1:17" x14ac:dyDescent="0.25">
      <c r="A32" s="214"/>
      <c r="B32" s="215"/>
      <c r="C32" s="216"/>
      <c r="D32" s="217"/>
      <c r="E32" s="216"/>
      <c r="G32" s="216"/>
      <c r="I32" s="219"/>
      <c r="J32" s="216"/>
      <c r="K32" s="220" t="s">
        <v>198</v>
      </c>
      <c r="L32" s="158" t="s">
        <v>110</v>
      </c>
      <c r="M32" s="166"/>
      <c r="N32" s="71">
        <f>ROUND(Calculo!$J$77,0)</f>
        <v>49254</v>
      </c>
      <c r="O32" s="168"/>
      <c r="P32" s="226"/>
      <c r="Q32" s="213"/>
    </row>
    <row r="33" spans="1:17" x14ac:dyDescent="0.25">
      <c r="A33" s="214"/>
      <c r="B33" s="215"/>
      <c r="C33" s="216"/>
      <c r="D33" s="217"/>
      <c r="E33" s="216"/>
      <c r="G33" s="216">
        <v>9998</v>
      </c>
      <c r="H33" s="222">
        <v>1</v>
      </c>
      <c r="I33" s="223">
        <v>5</v>
      </c>
      <c r="J33" s="216"/>
      <c r="K33" s="220"/>
      <c r="L33" s="222" t="s">
        <v>64</v>
      </c>
      <c r="M33" s="166"/>
      <c r="N33" s="68">
        <f>+N34</f>
        <v>129443</v>
      </c>
      <c r="O33" s="168"/>
      <c r="P33" s="226"/>
      <c r="Q33" s="213"/>
    </row>
    <row r="34" spans="1:17" x14ac:dyDescent="0.25">
      <c r="A34" s="214"/>
      <c r="B34" s="215"/>
      <c r="C34" s="216"/>
      <c r="D34" s="217"/>
      <c r="E34" s="216"/>
      <c r="G34" s="216"/>
      <c r="I34" s="219"/>
      <c r="J34" s="216">
        <v>2</v>
      </c>
      <c r="K34" s="220"/>
      <c r="L34" s="158" t="s">
        <v>65</v>
      </c>
      <c r="M34" s="166"/>
      <c r="N34" s="71">
        <f>ROUND(Calculo!$J$85,0)</f>
        <v>129443</v>
      </c>
      <c r="O34" s="168"/>
      <c r="P34" s="226"/>
      <c r="Q34" s="213"/>
    </row>
    <row r="35" spans="1:17" x14ac:dyDescent="0.25">
      <c r="A35" s="214"/>
      <c r="B35" s="215"/>
      <c r="C35" s="216"/>
      <c r="D35" s="217"/>
      <c r="E35" s="216"/>
      <c r="G35" s="216">
        <v>9998</v>
      </c>
      <c r="H35" s="222">
        <v>2</v>
      </c>
      <c r="I35" s="223"/>
      <c r="J35" s="224"/>
      <c r="K35" s="225"/>
      <c r="L35" s="222" t="s">
        <v>111</v>
      </c>
      <c r="M35" s="172"/>
      <c r="N35" s="68">
        <f>+N36+N42+N44+N46+N48+N51+N54+N61</f>
        <v>705519.5</v>
      </c>
      <c r="O35" s="66"/>
      <c r="P35" s="226"/>
      <c r="Q35" s="221"/>
    </row>
    <row r="36" spans="1:17" x14ac:dyDescent="0.25">
      <c r="A36" s="214"/>
      <c r="B36" s="215"/>
      <c r="C36" s="216"/>
      <c r="D36" s="217"/>
      <c r="E36" s="216"/>
      <c r="G36" s="216"/>
      <c r="H36" s="222">
        <v>2</v>
      </c>
      <c r="I36" s="223">
        <v>1</v>
      </c>
      <c r="J36" s="224"/>
      <c r="K36" s="225"/>
      <c r="L36" s="222" t="s">
        <v>112</v>
      </c>
      <c r="M36" s="172"/>
      <c r="N36" s="68">
        <f>+N37+N38+N40+N41</f>
        <v>157350</v>
      </c>
      <c r="O36" s="66"/>
      <c r="P36" s="226"/>
    </row>
    <row r="37" spans="1:17" x14ac:dyDescent="0.25">
      <c r="A37" s="214"/>
      <c r="B37" s="215"/>
      <c r="C37" s="216"/>
      <c r="D37" s="217"/>
      <c r="E37" s="216"/>
      <c r="G37" s="216"/>
      <c r="I37" s="219"/>
      <c r="J37" s="216">
        <v>3</v>
      </c>
      <c r="K37" s="220"/>
      <c r="L37" s="158" t="s">
        <v>113</v>
      </c>
      <c r="M37" s="166"/>
      <c r="N37" s="71">
        <f>ROUND(Calculo!$J$92,0)</f>
        <v>49582</v>
      </c>
      <c r="O37" s="168"/>
      <c r="P37" s="226"/>
    </row>
    <row r="38" spans="1:17" x14ac:dyDescent="0.25">
      <c r="A38" s="214"/>
      <c r="B38" s="215"/>
      <c r="C38" s="216"/>
      <c r="D38" s="217"/>
      <c r="E38" s="216"/>
      <c r="G38" s="216"/>
      <c r="I38" s="219"/>
      <c r="J38" s="224">
        <v>6</v>
      </c>
      <c r="K38" s="220"/>
      <c r="L38" s="222" t="s">
        <v>133</v>
      </c>
      <c r="M38" s="166"/>
      <c r="N38" s="68">
        <f>N39</f>
        <v>103889</v>
      </c>
      <c r="O38" s="168"/>
    </row>
    <row r="39" spans="1:17" x14ac:dyDescent="0.25">
      <c r="A39" s="214"/>
      <c r="B39" s="215"/>
      <c r="C39" s="216"/>
      <c r="D39" s="217"/>
      <c r="E39" s="216"/>
      <c r="G39" s="216"/>
      <c r="I39" s="219"/>
      <c r="J39" s="216"/>
      <c r="K39" s="220" t="s">
        <v>35</v>
      </c>
      <c r="L39" s="158" t="s">
        <v>114</v>
      </c>
      <c r="M39" s="166"/>
      <c r="N39" s="71">
        <f>ROUND(Calculo!$J$95,0)</f>
        <v>103889</v>
      </c>
      <c r="O39" s="168"/>
      <c r="P39" s="156"/>
    </row>
    <row r="40" spans="1:17" x14ac:dyDescent="0.25">
      <c r="A40" s="214"/>
      <c r="B40" s="215"/>
      <c r="C40" s="216"/>
      <c r="D40" s="217"/>
      <c r="E40" s="216"/>
      <c r="G40" s="216"/>
      <c r="I40" s="219"/>
      <c r="J40" s="216">
        <v>7</v>
      </c>
      <c r="K40" s="220"/>
      <c r="L40" s="158" t="s">
        <v>70</v>
      </c>
      <c r="M40" s="166"/>
      <c r="N40" s="71">
        <f>ROUND(Calculo!$J$96,0)</f>
        <v>2525</v>
      </c>
      <c r="O40" s="168"/>
    </row>
    <row r="41" spans="1:17" x14ac:dyDescent="0.25">
      <c r="A41" s="214"/>
      <c r="B41" s="215"/>
      <c r="C41" s="216"/>
      <c r="D41" s="217"/>
      <c r="E41" s="216"/>
      <c r="G41" s="216"/>
      <c r="I41" s="219"/>
      <c r="J41" s="216">
        <v>8</v>
      </c>
      <c r="K41" s="220"/>
      <c r="L41" s="158" t="s">
        <v>216</v>
      </c>
      <c r="M41" s="166"/>
      <c r="N41" s="71">
        <f>ROUND(Calculo!$J$97,0)</f>
        <v>1354</v>
      </c>
      <c r="O41" s="168"/>
    </row>
    <row r="42" spans="1:17" x14ac:dyDescent="0.25">
      <c r="A42" s="214"/>
      <c r="B42" s="215"/>
      <c r="C42" s="216"/>
      <c r="D42" s="217"/>
      <c r="E42" s="216"/>
      <c r="G42" s="216"/>
      <c r="H42" s="222">
        <v>2</v>
      </c>
      <c r="I42" s="223">
        <v>2</v>
      </c>
      <c r="J42" s="224"/>
      <c r="K42" s="225"/>
      <c r="L42" s="222" t="s">
        <v>115</v>
      </c>
      <c r="M42" s="172"/>
      <c r="N42" s="68">
        <f>+N43</f>
        <v>79284</v>
      </c>
      <c r="O42" s="66"/>
    </row>
    <row r="43" spans="1:17" x14ac:dyDescent="0.25">
      <c r="A43" s="214"/>
      <c r="B43" s="215"/>
      <c r="C43" s="216"/>
      <c r="D43" s="217"/>
      <c r="E43" s="216"/>
      <c r="G43" s="216"/>
      <c r="I43" s="219"/>
      <c r="J43" s="216">
        <v>1</v>
      </c>
      <c r="K43" s="220"/>
      <c r="L43" s="158" t="s">
        <v>73</v>
      </c>
      <c r="M43" s="166"/>
      <c r="N43" s="71">
        <f>ROUND(Calculo!$J$99,0)</f>
        <v>79284</v>
      </c>
      <c r="O43" s="168"/>
    </row>
    <row r="44" spans="1:17" x14ac:dyDescent="0.25">
      <c r="A44" s="214"/>
      <c r="B44" s="215"/>
      <c r="C44" s="216"/>
      <c r="D44" s="217"/>
      <c r="E44" s="216"/>
      <c r="G44" s="216"/>
      <c r="H44" s="222">
        <v>2</v>
      </c>
      <c r="I44" s="223">
        <v>3</v>
      </c>
      <c r="J44" s="224"/>
      <c r="K44" s="225"/>
      <c r="L44" s="222" t="s">
        <v>74</v>
      </c>
      <c r="M44" s="172"/>
      <c r="N44" s="68">
        <f>+N45</f>
        <v>47548</v>
      </c>
      <c r="O44" s="66"/>
    </row>
    <row r="45" spans="1:17" x14ac:dyDescent="0.25">
      <c r="A45" s="214"/>
      <c r="B45" s="215"/>
      <c r="C45" s="216"/>
      <c r="D45" s="217"/>
      <c r="E45" s="216"/>
      <c r="G45" s="216"/>
      <c r="I45" s="219"/>
      <c r="J45" s="216">
        <v>1</v>
      </c>
      <c r="K45" s="220"/>
      <c r="L45" s="158" t="s">
        <v>75</v>
      </c>
      <c r="M45" s="166"/>
      <c r="N45" s="71">
        <f>ROUND(Calculo!$J$105,0)</f>
        <v>47548</v>
      </c>
      <c r="O45" s="168"/>
    </row>
    <row r="46" spans="1:17" x14ac:dyDescent="0.25">
      <c r="A46" s="214"/>
      <c r="B46" s="215"/>
      <c r="C46" s="216"/>
      <c r="D46" s="217"/>
      <c r="E46" s="216"/>
      <c r="G46" s="216"/>
      <c r="H46" s="222">
        <v>2</v>
      </c>
      <c r="I46" s="223">
        <v>4</v>
      </c>
      <c r="J46" s="224"/>
      <c r="K46" s="225"/>
      <c r="L46" s="222" t="s">
        <v>116</v>
      </c>
      <c r="M46" s="172"/>
      <c r="N46" s="68">
        <f>+N47</f>
        <v>11541</v>
      </c>
      <c r="O46" s="66"/>
    </row>
    <row r="47" spans="1:17" x14ac:dyDescent="0.25">
      <c r="A47" s="214"/>
      <c r="B47" s="215"/>
      <c r="C47" s="216"/>
      <c r="D47" s="217"/>
      <c r="E47" s="216"/>
      <c r="G47" s="216"/>
      <c r="I47" s="219"/>
      <c r="J47" s="216">
        <v>1</v>
      </c>
      <c r="K47" s="220"/>
      <c r="L47" s="158" t="s">
        <v>77</v>
      </c>
      <c r="M47" s="166"/>
      <c r="N47" s="71">
        <f>ROUND(Calculo!$J$109,0)</f>
        <v>11541</v>
      </c>
      <c r="O47" s="168"/>
      <c r="P47" s="226"/>
    </row>
    <row r="48" spans="1:17" x14ac:dyDescent="0.25">
      <c r="A48" s="214"/>
      <c r="B48" s="215"/>
      <c r="C48" s="216"/>
      <c r="D48" s="217"/>
      <c r="E48" s="216"/>
      <c r="G48" s="216"/>
      <c r="H48" s="222">
        <v>2</v>
      </c>
      <c r="I48" s="223">
        <v>5</v>
      </c>
      <c r="J48" s="224"/>
      <c r="K48" s="225"/>
      <c r="L48" s="222" t="s">
        <v>117</v>
      </c>
      <c r="M48" s="172"/>
      <c r="N48" s="68">
        <f>+N49+N50</f>
        <v>12665</v>
      </c>
      <c r="O48" s="66"/>
    </row>
    <row r="49" spans="1:17" hidden="1" x14ac:dyDescent="0.25">
      <c r="A49" s="214"/>
      <c r="B49" s="215"/>
      <c r="C49" s="216"/>
      <c r="D49" s="217"/>
      <c r="E49" s="216"/>
      <c r="G49" s="216"/>
      <c r="I49" s="219"/>
      <c r="J49" s="216">
        <v>1</v>
      </c>
      <c r="K49" s="220"/>
      <c r="L49" s="158" t="s">
        <v>78</v>
      </c>
      <c r="M49" s="166"/>
      <c r="N49" s="71">
        <f>Calculo!J113</f>
        <v>0</v>
      </c>
      <c r="O49" s="168"/>
    </row>
    <row r="50" spans="1:17" x14ac:dyDescent="0.25">
      <c r="A50" s="214"/>
      <c r="B50" s="215"/>
      <c r="C50" s="216"/>
      <c r="D50" s="217"/>
      <c r="E50" s="216"/>
      <c r="G50" s="216"/>
      <c r="I50" s="219"/>
      <c r="J50" s="216">
        <v>4</v>
      </c>
      <c r="K50" s="220"/>
      <c r="L50" s="158" t="s">
        <v>101</v>
      </c>
      <c r="M50" s="166"/>
      <c r="N50" s="71">
        <f>ROUND(Calculo!$J$119,0)</f>
        <v>12665</v>
      </c>
      <c r="O50" s="168"/>
    </row>
    <row r="51" spans="1:17" x14ac:dyDescent="0.25">
      <c r="A51" s="214"/>
      <c r="B51" s="215"/>
      <c r="C51" s="216"/>
      <c r="D51" s="217"/>
      <c r="E51" s="216"/>
      <c r="G51" s="216"/>
      <c r="H51" s="222">
        <v>2</v>
      </c>
      <c r="I51" s="223">
        <v>6</v>
      </c>
      <c r="J51" s="224"/>
      <c r="K51" s="225"/>
      <c r="L51" s="222" t="s">
        <v>79</v>
      </c>
      <c r="M51" s="172"/>
      <c r="N51" s="68">
        <f>+N52+N53</f>
        <v>321706</v>
      </c>
      <c r="O51" s="66"/>
    </row>
    <row r="52" spans="1:17" x14ac:dyDescent="0.25">
      <c r="A52" s="214"/>
      <c r="B52" s="215"/>
      <c r="C52" s="216"/>
      <c r="D52" s="217"/>
      <c r="E52" s="216"/>
      <c r="G52" s="216"/>
      <c r="I52" s="219"/>
      <c r="J52" s="216">
        <v>2</v>
      </c>
      <c r="K52" s="220"/>
      <c r="L52" s="158" t="s">
        <v>223</v>
      </c>
      <c r="M52" s="166"/>
      <c r="N52" s="71">
        <f>ROUND(Calculo!$J$127,0)</f>
        <v>19853</v>
      </c>
      <c r="O52" s="168"/>
    </row>
    <row r="53" spans="1:17" x14ac:dyDescent="0.25">
      <c r="A53" s="214"/>
      <c r="B53" s="215"/>
      <c r="C53" s="216"/>
      <c r="D53" s="217"/>
      <c r="E53" s="216"/>
      <c r="G53" s="216"/>
      <c r="I53" s="219"/>
      <c r="J53" s="216">
        <v>3</v>
      </c>
      <c r="K53" s="220"/>
      <c r="L53" s="158" t="s">
        <v>214</v>
      </c>
      <c r="M53" s="166"/>
      <c r="N53" s="71">
        <f>ROUND(Calculo!$J$133,0)</f>
        <v>301853</v>
      </c>
      <c r="O53" s="168"/>
    </row>
    <row r="54" spans="1:17" ht="29.25" x14ac:dyDescent="0.25">
      <c r="A54" s="214"/>
      <c r="B54" s="215"/>
      <c r="C54" s="216"/>
      <c r="D54" s="217"/>
      <c r="E54" s="216"/>
      <c r="G54" s="216"/>
      <c r="H54" s="222">
        <v>2</v>
      </c>
      <c r="I54" s="223">
        <v>7</v>
      </c>
      <c r="J54" s="224"/>
      <c r="K54" s="225"/>
      <c r="L54" s="227" t="s">
        <v>538</v>
      </c>
      <c r="M54" s="172"/>
      <c r="N54" s="609">
        <f>+N55+N57</f>
        <v>25946</v>
      </c>
      <c r="O54" s="66"/>
    </row>
    <row r="55" spans="1:17" x14ac:dyDescent="0.25">
      <c r="A55" s="214"/>
      <c r="B55" s="215"/>
      <c r="C55" s="216"/>
      <c r="D55" s="217"/>
      <c r="E55" s="216"/>
      <c r="G55" s="216"/>
      <c r="I55" s="219"/>
      <c r="J55" s="224">
        <v>1</v>
      </c>
      <c r="K55" s="220"/>
      <c r="L55" s="158" t="s">
        <v>121</v>
      </c>
      <c r="M55" s="166"/>
      <c r="N55" s="68">
        <f>+N56</f>
        <v>-5550</v>
      </c>
      <c r="O55" s="168"/>
    </row>
    <row r="56" spans="1:17" x14ac:dyDescent="0.25">
      <c r="A56" s="214"/>
      <c r="B56" s="215"/>
      <c r="C56" s="216"/>
      <c r="D56" s="217"/>
      <c r="E56" s="216"/>
      <c r="G56" s="216"/>
      <c r="I56" s="219"/>
      <c r="J56" s="216"/>
      <c r="K56" s="220" t="s">
        <v>37</v>
      </c>
      <c r="L56" s="158" t="s">
        <v>122</v>
      </c>
      <c r="M56" s="166"/>
      <c r="N56" s="71">
        <f>ROUND(Calculo!$J$140,0)</f>
        <v>-5550</v>
      </c>
      <c r="O56" s="168"/>
    </row>
    <row r="57" spans="1:17" x14ac:dyDescent="0.25">
      <c r="A57" s="214"/>
      <c r="B57" s="215"/>
      <c r="C57" s="216"/>
      <c r="D57" s="217"/>
      <c r="E57" s="216"/>
      <c r="G57" s="216"/>
      <c r="I57" s="219"/>
      <c r="J57" s="224">
        <v>2</v>
      </c>
      <c r="K57" s="220"/>
      <c r="L57" s="158" t="s">
        <v>82</v>
      </c>
      <c r="M57" s="166"/>
      <c r="N57" s="68">
        <f>+N58+N59+N60</f>
        <v>31496</v>
      </c>
      <c r="O57" s="168"/>
    </row>
    <row r="58" spans="1:17" x14ac:dyDescent="0.25">
      <c r="A58" s="214"/>
      <c r="B58" s="215"/>
      <c r="C58" s="216"/>
      <c r="D58" s="217"/>
      <c r="E58" s="216"/>
      <c r="G58" s="216"/>
      <c r="I58" s="219"/>
      <c r="J58" s="216"/>
      <c r="K58" s="220" t="s">
        <v>35</v>
      </c>
      <c r="L58" s="158" t="s">
        <v>123</v>
      </c>
      <c r="M58" s="166"/>
      <c r="N58" s="159">
        <f>ROUND(Calculo!$J$146+Calculo!$J$147,0)</f>
        <v>13829</v>
      </c>
      <c r="O58" s="168"/>
      <c r="Q58" s="156">
        <f>+N58+N59</f>
        <v>26855</v>
      </c>
    </row>
    <row r="59" spans="1:17" x14ac:dyDescent="0.25">
      <c r="A59" s="214"/>
      <c r="B59" s="215"/>
      <c r="C59" s="216"/>
      <c r="D59" s="217"/>
      <c r="E59" s="216"/>
      <c r="G59" s="216"/>
      <c r="I59" s="219"/>
      <c r="J59" s="216"/>
      <c r="K59" s="220" t="s">
        <v>209</v>
      </c>
      <c r="L59" s="158" t="s">
        <v>124</v>
      </c>
      <c r="M59" s="166"/>
      <c r="N59" s="159">
        <f>ROUND(Calculo!$J$148+Calculo!$J$149+Calculo!$J$150,0)</f>
        <v>13026</v>
      </c>
      <c r="O59" s="168"/>
    </row>
    <row r="60" spans="1:17" x14ac:dyDescent="0.25">
      <c r="A60" s="214"/>
      <c r="B60" s="215"/>
      <c r="C60" s="216"/>
      <c r="D60" s="217"/>
      <c r="E60" s="216"/>
      <c r="G60" s="216"/>
      <c r="I60" s="219"/>
      <c r="J60" s="224">
        <v>3</v>
      </c>
      <c r="K60" s="220" t="s">
        <v>35</v>
      </c>
      <c r="L60" s="158" t="s">
        <v>120</v>
      </c>
      <c r="M60" s="166"/>
      <c r="N60" s="159">
        <f>ROUND(Calculo!$J$155,0)</f>
        <v>4641</v>
      </c>
      <c r="O60" s="168"/>
    </row>
    <row r="61" spans="1:17" x14ac:dyDescent="0.25">
      <c r="A61" s="214"/>
      <c r="B61" s="215"/>
      <c r="C61" s="216"/>
      <c r="D61" s="217"/>
      <c r="E61" s="216"/>
      <c r="G61" s="216"/>
      <c r="H61" s="222">
        <v>2</v>
      </c>
      <c r="I61" s="223">
        <v>8</v>
      </c>
      <c r="J61" s="224"/>
      <c r="K61" s="225"/>
      <c r="L61" s="222" t="s">
        <v>83</v>
      </c>
      <c r="M61" s="172"/>
      <c r="N61" s="67">
        <f>+N62+N63+N70+N68</f>
        <v>49479.5</v>
      </c>
      <c r="O61" s="66"/>
    </row>
    <row r="62" spans="1:17" x14ac:dyDescent="0.25">
      <c r="A62" s="214"/>
      <c r="B62" s="215"/>
      <c r="C62" s="216"/>
      <c r="D62" s="217"/>
      <c r="E62" s="216"/>
      <c r="G62" s="216"/>
      <c r="I62" s="219"/>
      <c r="J62" s="216">
        <v>4</v>
      </c>
      <c r="K62" s="220"/>
      <c r="L62" s="158" t="s">
        <v>102</v>
      </c>
      <c r="M62" s="166"/>
      <c r="N62" s="159">
        <f>Calculo!J161</f>
        <v>480.5</v>
      </c>
      <c r="O62" s="168"/>
    </row>
    <row r="63" spans="1:17" hidden="1" x14ac:dyDescent="0.25">
      <c r="A63" s="214"/>
      <c r="B63" s="215"/>
      <c r="C63" s="216"/>
      <c r="D63" s="217"/>
      <c r="E63" s="216"/>
      <c r="G63" s="216"/>
      <c r="I63" s="219"/>
      <c r="J63" s="224">
        <v>7</v>
      </c>
      <c r="K63" s="220"/>
      <c r="L63" s="158" t="s">
        <v>86</v>
      </c>
      <c r="M63" s="166"/>
      <c r="N63" s="159">
        <f>N64+N65+N66+N67</f>
        <v>0</v>
      </c>
      <c r="O63" s="168"/>
    </row>
    <row r="64" spans="1:17" hidden="1" x14ac:dyDescent="0.25">
      <c r="A64" s="214"/>
      <c r="B64" s="215"/>
      <c r="C64" s="216"/>
      <c r="D64" s="217"/>
      <c r="E64" s="216"/>
      <c r="G64" s="216"/>
      <c r="I64" s="219"/>
      <c r="J64" s="224"/>
      <c r="K64" s="220" t="s">
        <v>197</v>
      </c>
      <c r="L64" s="158" t="s">
        <v>176</v>
      </c>
      <c r="M64" s="166"/>
      <c r="N64" s="159">
        <f>Calculo!J166</f>
        <v>0</v>
      </c>
      <c r="O64" s="168"/>
    </row>
    <row r="65" spans="1:15" hidden="1" x14ac:dyDescent="0.25">
      <c r="A65" s="214"/>
      <c r="B65" s="215"/>
      <c r="C65" s="216"/>
      <c r="D65" s="217"/>
      <c r="E65" s="216"/>
      <c r="G65" s="216"/>
      <c r="I65" s="219"/>
      <c r="J65" s="216"/>
      <c r="K65" s="220" t="s">
        <v>160</v>
      </c>
      <c r="L65" s="158" t="s">
        <v>161</v>
      </c>
      <c r="M65" s="166"/>
      <c r="N65" s="159">
        <f>Calculo!J168</f>
        <v>0</v>
      </c>
      <c r="O65" s="168"/>
    </row>
    <row r="66" spans="1:15" hidden="1" x14ac:dyDescent="0.25">
      <c r="A66" s="214"/>
      <c r="B66" s="215"/>
      <c r="C66" s="216"/>
      <c r="D66" s="217"/>
      <c r="E66" s="216"/>
      <c r="G66" s="216"/>
      <c r="I66" s="219"/>
      <c r="J66" s="216"/>
      <c r="K66" s="220" t="s">
        <v>199</v>
      </c>
      <c r="L66" s="158" t="s">
        <v>177</v>
      </c>
      <c r="M66" s="166"/>
      <c r="N66" s="159">
        <f>Calculo!J167</f>
        <v>0</v>
      </c>
      <c r="O66" s="168"/>
    </row>
    <row r="67" spans="1:15" hidden="1" x14ac:dyDescent="0.25">
      <c r="A67" s="214"/>
      <c r="B67" s="215"/>
      <c r="C67" s="216"/>
      <c r="D67" s="217"/>
      <c r="E67" s="216"/>
      <c r="G67" s="216"/>
      <c r="I67" s="219"/>
      <c r="J67" s="216"/>
      <c r="K67" s="220" t="s">
        <v>209</v>
      </c>
      <c r="L67" s="158" t="s">
        <v>178</v>
      </c>
      <c r="M67" s="166"/>
      <c r="N67" s="159">
        <f>Calculo!J169</f>
        <v>0</v>
      </c>
      <c r="O67" s="168"/>
    </row>
    <row r="68" spans="1:15" hidden="1" x14ac:dyDescent="0.25">
      <c r="A68" s="214"/>
      <c r="B68" s="215"/>
      <c r="C68" s="216"/>
      <c r="D68" s="217"/>
      <c r="E68" s="216"/>
      <c r="G68" s="216"/>
      <c r="I68" s="219"/>
      <c r="J68" s="224">
        <v>8</v>
      </c>
      <c r="K68" s="220"/>
      <c r="L68" s="158" t="s">
        <v>171</v>
      </c>
      <c r="M68" s="166"/>
      <c r="N68" s="159">
        <f>N69</f>
        <v>0</v>
      </c>
      <c r="O68" s="168"/>
    </row>
    <row r="69" spans="1:15" hidden="1" x14ac:dyDescent="0.25">
      <c r="A69" s="214"/>
      <c r="B69" s="215"/>
      <c r="C69" s="216"/>
      <c r="D69" s="217"/>
      <c r="E69" s="216"/>
      <c r="G69" s="216"/>
      <c r="I69" s="219"/>
      <c r="J69" s="216"/>
      <c r="K69" s="220" t="s">
        <v>35</v>
      </c>
      <c r="L69" s="158" t="s">
        <v>189</v>
      </c>
      <c r="M69" s="166"/>
      <c r="N69" s="159">
        <f>Calculo!J172</f>
        <v>0</v>
      </c>
      <c r="O69" s="168"/>
    </row>
    <row r="70" spans="1:15" x14ac:dyDescent="0.25">
      <c r="A70" s="214"/>
      <c r="B70" s="215"/>
      <c r="C70" s="216"/>
      <c r="D70" s="217"/>
      <c r="E70" s="216"/>
      <c r="G70" s="216"/>
      <c r="I70" s="219"/>
      <c r="J70" s="224">
        <v>9</v>
      </c>
      <c r="K70" s="220"/>
      <c r="L70" s="158" t="s">
        <v>125</v>
      </c>
      <c r="M70" s="166"/>
      <c r="N70" s="67">
        <f>+N71</f>
        <v>48999</v>
      </c>
      <c r="O70" s="168"/>
    </row>
    <row r="71" spans="1:15" ht="15.75" thickBot="1" x14ac:dyDescent="0.3">
      <c r="A71" s="256"/>
      <c r="B71" s="257"/>
      <c r="C71" s="258"/>
      <c r="D71" s="259"/>
      <c r="E71" s="258"/>
      <c r="F71" s="228"/>
      <c r="G71" s="258"/>
      <c r="H71" s="228"/>
      <c r="I71" s="260"/>
      <c r="J71" s="258"/>
      <c r="K71" s="261" t="s">
        <v>199</v>
      </c>
      <c r="L71" s="228" t="s">
        <v>126</v>
      </c>
      <c r="M71" s="276"/>
      <c r="N71" s="151">
        <f>ROUND(Calculo!$J$175,0)+Calculo!J226</f>
        <v>48999</v>
      </c>
      <c r="O71" s="229"/>
    </row>
    <row r="72" spans="1:15" x14ac:dyDescent="0.2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</row>
    <row r="73" spans="1:15" x14ac:dyDescent="0.25">
      <c r="A73" s="262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</row>
    <row r="74" spans="1:15" x14ac:dyDescent="0.25">
      <c r="A74" s="262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</row>
    <row r="75" spans="1:15" x14ac:dyDescent="0.2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</row>
    <row r="76" spans="1:15" x14ac:dyDescent="0.25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</row>
    <row r="77" spans="1:15" x14ac:dyDescent="0.25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</row>
    <row r="78" spans="1:15" x14ac:dyDescent="0.25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</row>
    <row r="79" spans="1:15" x14ac:dyDescent="0.25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</row>
    <row r="80" spans="1:15" x14ac:dyDescent="0.25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</row>
    <row r="81" spans="1:15" x14ac:dyDescent="0.25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</row>
    <row r="82" spans="1:15" x14ac:dyDescent="0.2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</row>
    <row r="83" spans="1:15" x14ac:dyDescent="0.25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</row>
    <row r="84" spans="1:15" x14ac:dyDescent="0.25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</row>
    <row r="85" spans="1:15" x14ac:dyDescent="0.25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</row>
    <row r="86" spans="1:15" x14ac:dyDescent="0.25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</row>
    <row r="87" spans="1:15" x14ac:dyDescent="0.25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</row>
    <row r="88" spans="1:15" ht="15.75" thickBot="1" x14ac:dyDescent="0.3">
      <c r="A88" s="541"/>
      <c r="B88" s="541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</row>
    <row r="89" spans="1:15" x14ac:dyDescent="0.25">
      <c r="A89" s="610"/>
      <c r="B89" s="611"/>
      <c r="C89" s="611"/>
      <c r="D89" s="611"/>
      <c r="E89" s="611"/>
      <c r="F89" s="611"/>
      <c r="G89" s="611"/>
      <c r="H89" s="611"/>
      <c r="I89" s="611"/>
      <c r="J89" s="611"/>
      <c r="K89" s="611"/>
      <c r="L89" s="611"/>
      <c r="M89" s="611"/>
      <c r="N89" s="611"/>
      <c r="O89" s="612">
        <v>11</v>
      </c>
    </row>
    <row r="90" spans="1:15" x14ac:dyDescent="0.25">
      <c r="A90" s="761" t="s">
        <v>33</v>
      </c>
      <c r="B90" s="762"/>
      <c r="C90" s="762"/>
      <c r="D90" s="762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763"/>
    </row>
    <row r="91" spans="1:15" ht="18.75" x14ac:dyDescent="0.4">
      <c r="A91" s="230"/>
      <c r="M91" s="231" t="s">
        <v>156</v>
      </c>
      <c r="N91" s="232"/>
      <c r="O91" s="232"/>
    </row>
    <row r="92" spans="1:15" x14ac:dyDescent="0.25">
      <c r="A92" s="230"/>
      <c r="O92" s="263"/>
    </row>
    <row r="93" spans="1:15" x14ac:dyDescent="0.25">
      <c r="A93" s="294" t="s">
        <v>564</v>
      </c>
      <c r="M93" s="295" t="str">
        <f>+M6</f>
        <v xml:space="preserve"> REGISTRO INTERNO DIGEPRES</v>
      </c>
      <c r="O93" s="232"/>
    </row>
    <row r="94" spans="1:15" x14ac:dyDescent="0.25">
      <c r="A94" s="294" t="s">
        <v>565</v>
      </c>
      <c r="M94" s="295" t="s">
        <v>1</v>
      </c>
      <c r="O94" s="232"/>
    </row>
    <row r="95" spans="1:15" x14ac:dyDescent="0.25">
      <c r="A95" s="294" t="str">
        <f>+A8</f>
        <v>MES: DICIEMBRE</v>
      </c>
      <c r="M95" s="295" t="s">
        <v>2</v>
      </c>
      <c r="O95" s="232"/>
    </row>
    <row r="96" spans="1:15" ht="15.75" thickBot="1" x14ac:dyDescent="0.3">
      <c r="A96" s="296" t="str">
        <f>A9</f>
        <v>AÑO : 2022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 t="s">
        <v>3</v>
      </c>
      <c r="N96" s="297"/>
      <c r="O96" s="537"/>
    </row>
    <row r="97" spans="1:15" ht="15.75" thickBot="1" x14ac:dyDescent="0.3">
      <c r="A97" s="233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34"/>
      <c r="N97" s="228"/>
      <c r="O97" s="235"/>
    </row>
    <row r="98" spans="1:15" ht="15.75" thickBot="1" x14ac:dyDescent="0.3">
      <c r="A98" s="456"/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</row>
    <row r="99" spans="1:15" ht="15.75" thickBot="1" x14ac:dyDescent="0.3">
      <c r="A99" s="761" t="s">
        <v>28</v>
      </c>
      <c r="B99" s="762"/>
      <c r="C99" s="762"/>
      <c r="D99" s="762"/>
      <c r="E99" s="762"/>
      <c r="F99" s="762"/>
      <c r="G99" s="762"/>
      <c r="H99" s="762"/>
      <c r="I99" s="762"/>
      <c r="J99" s="762"/>
      <c r="K99" s="541"/>
      <c r="L99" s="541"/>
      <c r="M99" s="860" t="s">
        <v>32</v>
      </c>
      <c r="N99" s="861"/>
      <c r="O99" s="862"/>
    </row>
    <row r="100" spans="1:15" x14ac:dyDescent="0.25">
      <c r="A100" s="743" t="s">
        <v>9</v>
      </c>
      <c r="B100" s="744"/>
      <c r="C100" s="744"/>
      <c r="D100" s="744"/>
      <c r="E100" s="744"/>
      <c r="F100" s="744"/>
      <c r="G100" s="745"/>
      <c r="H100" s="756" t="s">
        <v>27</v>
      </c>
      <c r="I100" s="757"/>
      <c r="J100" s="757"/>
      <c r="K100" s="757"/>
      <c r="L100" s="758"/>
      <c r="M100" s="438" t="s">
        <v>29</v>
      </c>
      <c r="N100" s="439" t="s">
        <v>30</v>
      </c>
      <c r="O100" s="440" t="s">
        <v>31</v>
      </c>
    </row>
    <row r="101" spans="1:15" x14ac:dyDescent="0.25">
      <c r="A101" s="264"/>
      <c r="B101" s="265" t="s">
        <v>19</v>
      </c>
      <c r="C101" s="266"/>
      <c r="D101" s="265"/>
      <c r="E101" s="266"/>
      <c r="F101" s="265"/>
      <c r="G101" s="266"/>
      <c r="H101" s="265"/>
      <c r="I101" s="265"/>
      <c r="J101" s="265"/>
      <c r="K101" s="265"/>
      <c r="L101" s="759"/>
      <c r="M101" s="237"/>
      <c r="N101" s="238"/>
      <c r="O101" s="239"/>
    </row>
    <row r="102" spans="1:15" ht="15.75" thickBot="1" x14ac:dyDescent="0.3">
      <c r="A102" s="267" t="s">
        <v>18</v>
      </c>
      <c r="B102" s="268" t="s">
        <v>18</v>
      </c>
      <c r="C102" s="269" t="s">
        <v>20</v>
      </c>
      <c r="D102" s="268" t="s">
        <v>21</v>
      </c>
      <c r="E102" s="269" t="s">
        <v>22</v>
      </c>
      <c r="F102" s="268" t="s">
        <v>23</v>
      </c>
      <c r="G102" s="269" t="s">
        <v>24</v>
      </c>
      <c r="H102" s="268" t="s">
        <v>25</v>
      </c>
      <c r="I102" s="268" t="s">
        <v>4</v>
      </c>
      <c r="J102" s="268" t="s">
        <v>26</v>
      </c>
      <c r="K102" s="268" t="s">
        <v>155</v>
      </c>
      <c r="L102" s="760"/>
      <c r="M102" s="244" t="s">
        <v>11</v>
      </c>
      <c r="N102" s="270" t="s">
        <v>12</v>
      </c>
      <c r="O102" s="271" t="s">
        <v>13</v>
      </c>
    </row>
    <row r="103" spans="1:15" x14ac:dyDescent="0.25">
      <c r="A103" s="247" t="s">
        <v>38</v>
      </c>
      <c r="B103" s="248" t="s">
        <v>36</v>
      </c>
      <c r="C103" s="249"/>
      <c r="D103" s="250" t="s">
        <v>35</v>
      </c>
      <c r="E103" s="249"/>
      <c r="F103" s="251" t="s">
        <v>179</v>
      </c>
      <c r="G103" s="249">
        <v>9998</v>
      </c>
      <c r="H103" s="251">
        <v>3</v>
      </c>
      <c r="I103" s="249"/>
      <c r="J103" s="272"/>
      <c r="K103" s="272"/>
      <c r="L103" s="249" t="s">
        <v>47</v>
      </c>
      <c r="M103" s="253"/>
      <c r="N103" s="273">
        <f>+N104+N106+N110+N113+N108</f>
        <v>297976</v>
      </c>
      <c r="O103" s="167"/>
    </row>
    <row r="104" spans="1:15" hidden="1" x14ac:dyDescent="0.25">
      <c r="A104" s="214"/>
      <c r="B104" s="215"/>
      <c r="C104" s="216"/>
      <c r="D104" s="217"/>
      <c r="E104" s="216"/>
      <c r="G104" s="216"/>
      <c r="I104" s="224">
        <v>32</v>
      </c>
      <c r="J104" s="274"/>
      <c r="K104" s="274"/>
      <c r="L104" s="224" t="s">
        <v>180</v>
      </c>
      <c r="M104" s="159"/>
      <c r="N104" s="172">
        <f>N105</f>
        <v>0</v>
      </c>
      <c r="O104" s="168"/>
    </row>
    <row r="105" spans="1:15" hidden="1" x14ac:dyDescent="0.25">
      <c r="A105" s="214"/>
      <c r="B105" s="215"/>
      <c r="C105" s="216"/>
      <c r="D105" s="217"/>
      <c r="E105" s="216"/>
      <c r="G105" s="216"/>
      <c r="I105" s="216"/>
      <c r="J105" s="274">
        <v>323</v>
      </c>
      <c r="K105" s="274"/>
      <c r="L105" s="216" t="s">
        <v>181</v>
      </c>
      <c r="M105" s="159"/>
      <c r="N105" s="166">
        <f>ROUND(Calculo!J188,0)</f>
        <v>0</v>
      </c>
      <c r="O105" s="168"/>
    </row>
    <row r="106" spans="1:15" x14ac:dyDescent="0.25">
      <c r="A106" s="214"/>
      <c r="B106" s="215"/>
      <c r="C106" s="216"/>
      <c r="D106" s="217"/>
      <c r="E106" s="216"/>
      <c r="G106" s="216"/>
      <c r="I106" s="224">
        <v>3</v>
      </c>
      <c r="J106" s="275"/>
      <c r="K106" s="275"/>
      <c r="L106" s="224" t="s">
        <v>48</v>
      </c>
      <c r="M106" s="67"/>
      <c r="N106" s="172">
        <f>+N107</f>
        <v>56345</v>
      </c>
      <c r="O106" s="66"/>
    </row>
    <row r="107" spans="1:15" x14ac:dyDescent="0.25">
      <c r="A107" s="214"/>
      <c r="B107" s="215"/>
      <c r="C107" s="216"/>
      <c r="D107" s="217"/>
      <c r="E107" s="216"/>
      <c r="G107" s="216"/>
      <c r="I107" s="216"/>
      <c r="J107" s="274">
        <v>1</v>
      </c>
      <c r="K107" s="274"/>
      <c r="L107" s="216" t="s">
        <v>49</v>
      </c>
      <c r="M107" s="159"/>
      <c r="N107" s="166">
        <f>ROUND(Calculo!$J$191,0)</f>
        <v>56345</v>
      </c>
      <c r="O107" s="168"/>
    </row>
    <row r="108" spans="1:15" x14ac:dyDescent="0.25">
      <c r="A108" s="214"/>
      <c r="B108" s="215"/>
      <c r="C108" s="216"/>
      <c r="D108" s="217"/>
      <c r="E108" s="216"/>
      <c r="G108" s="216"/>
      <c r="H108" s="222">
        <v>3</v>
      </c>
      <c r="I108" s="224">
        <v>5</v>
      </c>
      <c r="J108" s="274"/>
      <c r="K108" s="274"/>
      <c r="L108" s="224" t="s">
        <v>50</v>
      </c>
      <c r="M108" s="159"/>
      <c r="N108" s="172">
        <f>+N109</f>
        <v>1338</v>
      </c>
      <c r="O108" s="168"/>
    </row>
    <row r="109" spans="1:15" x14ac:dyDescent="0.25">
      <c r="A109" s="214"/>
      <c r="B109" s="215"/>
      <c r="C109" s="216"/>
      <c r="D109" s="217"/>
      <c r="E109" s="216"/>
      <c r="G109" s="216"/>
      <c r="I109" s="216"/>
      <c r="J109" s="274">
        <v>3</v>
      </c>
      <c r="K109" s="274"/>
      <c r="L109" s="216" t="s">
        <v>51</v>
      </c>
      <c r="M109" s="159"/>
      <c r="N109" s="166">
        <f>ROUND(Calculo!$J$196,0)</f>
        <v>1338</v>
      </c>
      <c r="O109" s="168"/>
    </row>
    <row r="110" spans="1:15" x14ac:dyDescent="0.25">
      <c r="A110" s="214"/>
      <c r="B110" s="215"/>
      <c r="C110" s="216"/>
      <c r="D110" s="217"/>
      <c r="E110" s="216"/>
      <c r="G110" s="216"/>
      <c r="H110" s="222">
        <v>3</v>
      </c>
      <c r="I110" s="224">
        <v>7</v>
      </c>
      <c r="J110" s="275"/>
      <c r="K110" s="275"/>
      <c r="L110" s="224" t="s">
        <v>53</v>
      </c>
      <c r="M110" s="67"/>
      <c r="N110" s="172">
        <f>+N111</f>
        <v>76074</v>
      </c>
      <c r="O110" s="66"/>
    </row>
    <row r="111" spans="1:15" x14ac:dyDescent="0.25">
      <c r="A111" s="214"/>
      <c r="B111" s="215"/>
      <c r="C111" s="216"/>
      <c r="D111" s="217"/>
      <c r="E111" s="216"/>
      <c r="G111" s="216"/>
      <c r="H111" s="222"/>
      <c r="I111" s="216"/>
      <c r="J111" s="274">
        <v>1</v>
      </c>
      <c r="K111" s="274"/>
      <c r="L111" s="216" t="s">
        <v>52</v>
      </c>
      <c r="M111" s="159"/>
      <c r="N111" s="172">
        <f>+N112</f>
        <v>76074</v>
      </c>
      <c r="O111" s="168"/>
    </row>
    <row r="112" spans="1:15" x14ac:dyDescent="0.25">
      <c r="A112" s="214"/>
      <c r="B112" s="215"/>
      <c r="C112" s="216"/>
      <c r="D112" s="217"/>
      <c r="E112" s="216"/>
      <c r="G112" s="216"/>
      <c r="H112" s="222">
        <v>3</v>
      </c>
      <c r="I112" s="216">
        <v>7</v>
      </c>
      <c r="J112" s="274">
        <v>1</v>
      </c>
      <c r="K112" s="274">
        <v>1</v>
      </c>
      <c r="L112" s="216" t="s">
        <v>217</v>
      </c>
      <c r="M112" s="159"/>
      <c r="N112" s="166">
        <f>ROUND(Calculo!$J$200,0)</f>
        <v>76074</v>
      </c>
      <c r="O112" s="168"/>
    </row>
    <row r="113" spans="1:15" x14ac:dyDescent="0.25">
      <c r="A113" s="214"/>
      <c r="B113" s="215"/>
      <c r="C113" s="216"/>
      <c r="D113" s="217"/>
      <c r="E113" s="216"/>
      <c r="G113" s="216"/>
      <c r="H113" s="222">
        <v>3</v>
      </c>
      <c r="I113" s="224">
        <v>9</v>
      </c>
      <c r="J113" s="274"/>
      <c r="K113" s="274"/>
      <c r="L113" s="224" t="s">
        <v>54</v>
      </c>
      <c r="M113" s="159"/>
      <c r="N113" s="172">
        <f>+N114+N115</f>
        <v>164219</v>
      </c>
      <c r="O113" s="168"/>
    </row>
    <row r="114" spans="1:15" x14ac:dyDescent="0.25">
      <c r="A114" s="214"/>
      <c r="B114" s="215"/>
      <c r="C114" s="216"/>
      <c r="D114" s="217"/>
      <c r="E114" s="216"/>
      <c r="G114" s="216"/>
      <c r="I114" s="216"/>
      <c r="J114" s="274">
        <v>1</v>
      </c>
      <c r="K114" s="274"/>
      <c r="L114" s="216" t="s">
        <v>55</v>
      </c>
      <c r="M114" s="159"/>
      <c r="N114" s="166">
        <f>ROUND(Calculo!$J$207,0)</f>
        <v>5600</v>
      </c>
      <c r="O114" s="168"/>
    </row>
    <row r="115" spans="1:15" x14ac:dyDescent="0.25">
      <c r="A115" s="214"/>
      <c r="B115" s="215"/>
      <c r="C115" s="216"/>
      <c r="D115" s="217"/>
      <c r="E115" s="216"/>
      <c r="G115" s="216"/>
      <c r="I115" s="216"/>
      <c r="J115" s="274">
        <v>9</v>
      </c>
      <c r="K115" s="274"/>
      <c r="L115" s="216" t="s">
        <v>56</v>
      </c>
      <c r="M115" s="159"/>
      <c r="N115" s="166">
        <f>ROUND(Calculo!$J$212,0)</f>
        <v>158619</v>
      </c>
      <c r="O115" s="168"/>
    </row>
    <row r="116" spans="1:15" x14ac:dyDescent="0.25">
      <c r="A116" s="214"/>
      <c r="B116" s="215"/>
      <c r="C116" s="216"/>
      <c r="D116" s="217"/>
      <c r="E116" s="216"/>
      <c r="G116" s="216"/>
      <c r="H116" s="222">
        <v>4</v>
      </c>
      <c r="I116" s="224"/>
      <c r="J116" s="275"/>
      <c r="K116" s="275"/>
      <c r="L116" s="224"/>
      <c r="M116" s="67"/>
      <c r="N116" s="172"/>
      <c r="O116" s="168"/>
    </row>
    <row r="117" spans="1:15" x14ac:dyDescent="0.25">
      <c r="A117" s="214"/>
      <c r="B117" s="215"/>
      <c r="C117" s="216"/>
      <c r="D117" s="217"/>
      <c r="E117" s="216"/>
      <c r="G117" s="216"/>
      <c r="H117" s="222"/>
      <c r="I117" s="224">
        <v>42</v>
      </c>
      <c r="J117" s="275"/>
      <c r="K117" s="275"/>
      <c r="L117" s="224"/>
      <c r="M117" s="67"/>
      <c r="N117" s="613"/>
      <c r="O117" s="168"/>
    </row>
    <row r="118" spans="1:15" x14ac:dyDescent="0.25">
      <c r="A118" s="214"/>
      <c r="B118" s="215"/>
      <c r="C118" s="216"/>
      <c r="D118" s="217"/>
      <c r="E118" s="216"/>
      <c r="G118" s="216"/>
      <c r="I118" s="216"/>
      <c r="J118" s="274">
        <v>424</v>
      </c>
      <c r="K118" s="274"/>
      <c r="L118" s="216"/>
      <c r="M118" s="159"/>
      <c r="N118" s="166"/>
      <c r="O118" s="168"/>
    </row>
    <row r="119" spans="1:15" x14ac:dyDescent="0.25">
      <c r="A119" s="214"/>
      <c r="B119" s="215"/>
      <c r="C119" s="216"/>
      <c r="D119" s="217"/>
      <c r="E119" s="216"/>
      <c r="G119" s="216"/>
      <c r="I119" s="216"/>
      <c r="J119" s="274"/>
      <c r="K119" s="274"/>
      <c r="L119" s="216"/>
      <c r="M119" s="159"/>
      <c r="N119" s="166"/>
      <c r="O119" s="168"/>
    </row>
    <row r="120" spans="1:15" x14ac:dyDescent="0.25">
      <c r="A120" s="214"/>
      <c r="B120" s="215"/>
      <c r="C120" s="216"/>
      <c r="D120" s="217"/>
      <c r="E120" s="216"/>
      <c r="G120" s="216"/>
      <c r="I120" s="216"/>
      <c r="J120" s="274"/>
      <c r="K120" s="274"/>
      <c r="L120" s="216"/>
      <c r="M120" s="159"/>
      <c r="N120" s="166"/>
      <c r="O120" s="168"/>
    </row>
    <row r="121" spans="1:15" x14ac:dyDescent="0.25">
      <c r="A121" s="214"/>
      <c r="B121" s="215"/>
      <c r="C121" s="216"/>
      <c r="D121" s="217"/>
      <c r="E121" s="216"/>
      <c r="G121" s="216"/>
      <c r="I121" s="216"/>
      <c r="J121" s="274"/>
      <c r="K121" s="274"/>
      <c r="L121" s="216"/>
      <c r="M121" s="159"/>
      <c r="N121" s="166"/>
      <c r="O121" s="168"/>
    </row>
    <row r="122" spans="1:15" x14ac:dyDescent="0.25">
      <c r="A122" s="214"/>
      <c r="B122" s="215"/>
      <c r="C122" s="216"/>
      <c r="D122" s="217"/>
      <c r="E122" s="216"/>
      <c r="F122" s="216"/>
      <c r="G122" s="274"/>
      <c r="I122" s="216"/>
      <c r="J122" s="274"/>
      <c r="K122" s="274"/>
      <c r="L122" s="216"/>
      <c r="M122" s="159"/>
      <c r="N122" s="166"/>
      <c r="O122" s="168"/>
    </row>
    <row r="123" spans="1:15" x14ac:dyDescent="0.25">
      <c r="A123" s="214"/>
      <c r="B123" s="215"/>
      <c r="C123" s="216"/>
      <c r="D123" s="217"/>
      <c r="E123" s="216"/>
      <c r="F123" s="216"/>
      <c r="G123" s="274"/>
      <c r="I123" s="216"/>
      <c r="J123" s="274"/>
      <c r="K123" s="274"/>
      <c r="L123" s="216"/>
      <c r="M123" s="159"/>
      <c r="N123" s="166"/>
      <c r="O123" s="168"/>
    </row>
    <row r="124" spans="1:15" x14ac:dyDescent="0.25">
      <c r="A124" s="214"/>
      <c r="B124" s="215"/>
      <c r="C124" s="216"/>
      <c r="D124" s="217"/>
      <c r="E124" s="216"/>
      <c r="F124" s="216"/>
      <c r="G124" s="274"/>
      <c r="I124" s="216"/>
      <c r="J124" s="274"/>
      <c r="K124" s="274"/>
      <c r="L124" s="216"/>
      <c r="M124" s="159"/>
      <c r="N124" s="166"/>
      <c r="O124" s="168"/>
    </row>
    <row r="125" spans="1:15" x14ac:dyDescent="0.25">
      <c r="A125" s="214"/>
      <c r="B125" s="215"/>
      <c r="C125" s="216"/>
      <c r="D125" s="217"/>
      <c r="E125" s="216"/>
      <c r="F125" s="216"/>
      <c r="G125" s="274"/>
      <c r="I125" s="216"/>
      <c r="J125" s="216"/>
      <c r="K125" s="216"/>
      <c r="L125" s="216"/>
      <c r="M125" s="159"/>
      <c r="N125" s="166"/>
      <c r="O125" s="168"/>
    </row>
    <row r="126" spans="1:15" x14ac:dyDescent="0.25">
      <c r="A126" s="214"/>
      <c r="B126" s="215"/>
      <c r="C126" s="216"/>
      <c r="D126" s="217"/>
      <c r="E126" s="216"/>
      <c r="F126" s="216"/>
      <c r="H126" s="219"/>
      <c r="I126" s="219"/>
      <c r="J126" s="216"/>
      <c r="K126" s="216"/>
      <c r="L126" s="216"/>
      <c r="M126" s="159"/>
      <c r="N126" s="166"/>
      <c r="O126" s="168"/>
    </row>
    <row r="127" spans="1:15" ht="15.75" thickBot="1" x14ac:dyDescent="0.3">
      <c r="A127" s="256"/>
      <c r="B127" s="257"/>
      <c r="C127" s="258"/>
      <c r="D127" s="259"/>
      <c r="E127" s="258"/>
      <c r="F127" s="258"/>
      <c r="G127" s="228"/>
      <c r="H127" s="260"/>
      <c r="I127" s="260"/>
      <c r="J127" s="258"/>
      <c r="K127" s="258"/>
      <c r="L127" s="258"/>
      <c r="M127" s="151"/>
      <c r="N127" s="276"/>
      <c r="O127" s="229"/>
    </row>
    <row r="128" spans="1:15" ht="15.75" thickBot="1" x14ac:dyDescent="0.3">
      <c r="A128" s="277"/>
      <c r="B128" s="278"/>
      <c r="C128" s="279"/>
      <c r="D128" s="280"/>
      <c r="E128" s="279"/>
      <c r="F128" s="279"/>
      <c r="G128" s="749" t="s">
        <v>41</v>
      </c>
      <c r="H128" s="749"/>
      <c r="I128" s="749"/>
      <c r="J128" s="750"/>
      <c r="K128" s="542"/>
      <c r="L128" s="542"/>
      <c r="M128" s="281"/>
      <c r="N128" s="282">
        <f>+N15+N35+N103</f>
        <v>4210404.5</v>
      </c>
      <c r="O128" s="429">
        <f>+O15+O35+O103</f>
        <v>0</v>
      </c>
    </row>
    <row r="129" spans="1:15" ht="15.75" thickTop="1" x14ac:dyDescent="0.25">
      <c r="M129" s="213"/>
      <c r="N129" s="156"/>
      <c r="O129" s="156"/>
    </row>
    <row r="130" spans="1:15" x14ac:dyDescent="0.25">
      <c r="M130" s="213"/>
      <c r="N130" s="156"/>
      <c r="O130" s="156"/>
    </row>
    <row r="131" spans="1:15" x14ac:dyDescent="0.25">
      <c r="M131" s="213"/>
      <c r="N131" s="156"/>
      <c r="O131" s="156"/>
    </row>
    <row r="132" spans="1:15" x14ac:dyDescent="0.25">
      <c r="M132" s="213"/>
      <c r="N132" s="156"/>
      <c r="O132" s="156"/>
    </row>
    <row r="133" spans="1:15" x14ac:dyDescent="0.25">
      <c r="M133" s="213"/>
      <c r="N133" s="156"/>
      <c r="O133" s="156"/>
    </row>
    <row r="134" spans="1:15" x14ac:dyDescent="0.25">
      <c r="M134" s="213"/>
      <c r="N134" s="156"/>
      <c r="O134" s="156"/>
    </row>
    <row r="135" spans="1:15" x14ac:dyDescent="0.25">
      <c r="M135" s="213"/>
      <c r="N135" s="156"/>
      <c r="O135" s="156"/>
    </row>
    <row r="136" spans="1:15" x14ac:dyDescent="0.25">
      <c r="M136" s="213"/>
      <c r="N136" s="156"/>
      <c r="O136" s="156"/>
    </row>
    <row r="137" spans="1:15" x14ac:dyDescent="0.25">
      <c r="M137" s="213"/>
      <c r="N137" s="156"/>
      <c r="O137" s="156"/>
    </row>
    <row r="138" spans="1:15" x14ac:dyDescent="0.25">
      <c r="M138" s="213"/>
      <c r="N138" s="156"/>
      <c r="O138" s="156"/>
    </row>
    <row r="139" spans="1:15" x14ac:dyDescent="0.25">
      <c r="M139" s="213"/>
      <c r="N139" s="156"/>
      <c r="O139" s="156"/>
    </row>
    <row r="140" spans="1:15" x14ac:dyDescent="0.25">
      <c r="M140" s="213"/>
      <c r="N140" s="157"/>
      <c r="O140" s="156"/>
    </row>
    <row r="142" spans="1:15" x14ac:dyDescent="0.25">
      <c r="A142" s="740" t="str">
        <f>+'Hoja5 (2)'!A56:L56</f>
        <v>LIC.  MARICELA CHECO</v>
      </c>
      <c r="B142" s="740"/>
      <c r="C142" s="740"/>
      <c r="D142" s="740"/>
      <c r="E142" s="740"/>
      <c r="F142" s="740"/>
      <c r="G142" s="740"/>
      <c r="H142" s="740"/>
      <c r="I142" s="740"/>
      <c r="J142" s="740"/>
      <c r="K142" s="740"/>
      <c r="L142" s="740" t="str">
        <f>+'Hoja5 - I'!L80</f>
        <v xml:space="preserve">FERNANDO DURÁN </v>
      </c>
      <c r="M142" s="740"/>
      <c r="N142" s="740"/>
      <c r="O142" s="740"/>
    </row>
    <row r="143" spans="1:15" x14ac:dyDescent="0.25">
      <c r="A143" s="741" t="s">
        <v>210</v>
      </c>
      <c r="B143" s="741"/>
      <c r="C143" s="741"/>
      <c r="D143" s="741"/>
      <c r="E143" s="741"/>
      <c r="F143" s="741"/>
      <c r="G143" s="741"/>
      <c r="H143" s="741"/>
      <c r="I143" s="741"/>
      <c r="J143" s="741"/>
      <c r="K143" s="741"/>
      <c r="L143" s="741" t="s">
        <v>212</v>
      </c>
      <c r="M143" s="741"/>
      <c r="N143" s="741"/>
      <c r="O143" s="741"/>
    </row>
    <row r="144" spans="1:15" x14ac:dyDescent="0.25">
      <c r="A144" s="742" t="str">
        <f>+'Hoja5 - I'!A82</f>
        <v xml:space="preserve">Contralor </v>
      </c>
      <c r="B144" s="742"/>
      <c r="C144" s="742"/>
      <c r="D144" s="742"/>
      <c r="E144" s="742"/>
      <c r="F144" s="742"/>
      <c r="G144" s="742"/>
      <c r="H144" s="742"/>
      <c r="I144" s="742"/>
      <c r="J144" s="742"/>
      <c r="K144" s="742"/>
      <c r="L144" s="859" t="str">
        <f>+'Hoja5 - I'!L82</f>
        <v>ADMINSTRADOR GENERAL</v>
      </c>
      <c r="M144" s="859"/>
      <c r="N144" s="859"/>
      <c r="O144" s="859"/>
    </row>
    <row r="145" spans="1:15" x14ac:dyDescent="0.25">
      <c r="A145" s="545"/>
      <c r="B145" s="545"/>
      <c r="C145" s="545"/>
      <c r="D145" s="545"/>
      <c r="E145" s="545"/>
      <c r="F145" s="545"/>
      <c r="G145" s="545"/>
      <c r="H145" s="545"/>
      <c r="I145" s="545"/>
      <c r="J145" s="545"/>
      <c r="K145" s="545"/>
      <c r="L145" s="614"/>
      <c r="M145" s="614"/>
      <c r="N145" s="614"/>
      <c r="O145" s="614"/>
    </row>
    <row r="146" spans="1:15" x14ac:dyDescent="0.25">
      <c r="A146" s="545"/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614"/>
      <c r="M146" s="614"/>
      <c r="N146" s="614"/>
      <c r="O146" s="614"/>
    </row>
  </sheetData>
  <mergeCells count="20">
    <mergeCell ref="A2:O2"/>
    <mergeCell ref="A3:O3"/>
    <mergeCell ref="A11:J11"/>
    <mergeCell ref="M11:O11"/>
    <mergeCell ref="A12:G12"/>
    <mergeCell ref="H12:L12"/>
    <mergeCell ref="L13:L14"/>
    <mergeCell ref="A99:J99"/>
    <mergeCell ref="M99:O99"/>
    <mergeCell ref="A100:G100"/>
    <mergeCell ref="H100:L100"/>
    <mergeCell ref="A90:O90"/>
    <mergeCell ref="A144:K144"/>
    <mergeCell ref="L144:O144"/>
    <mergeCell ref="L101:L102"/>
    <mergeCell ref="G128:J128"/>
    <mergeCell ref="A142:K142"/>
    <mergeCell ref="L142:O142"/>
    <mergeCell ref="A143:K143"/>
    <mergeCell ref="L143:O143"/>
  </mergeCells>
  <pageMargins left="0.35433070866141736" right="0.27559055118110237" top="0.55118110236220474" bottom="0.98425196850393704" header="0.27559055118110237" footer="0"/>
  <pageSetup scale="60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327"/>
  <sheetViews>
    <sheetView zoomScaleNormal="100" workbookViewId="0">
      <pane ySplit="1" topLeftCell="A2" activePane="bottomLeft" state="frozen"/>
      <selection pane="bottomLeft" activeCell="G312" sqref="G312"/>
    </sheetView>
  </sheetViews>
  <sheetFormatPr defaultColWidth="11.42578125" defaultRowHeight="12.75" x14ac:dyDescent="0.2"/>
  <cols>
    <col min="1" max="1" width="1.28515625" customWidth="1"/>
    <col min="2" max="2" width="10" bestFit="1" customWidth="1"/>
    <col min="3" max="3" width="7.140625" customWidth="1"/>
    <col min="4" max="4" width="62.140625" bestFit="1" customWidth="1"/>
    <col min="5" max="5" width="16.85546875" style="89" customWidth="1"/>
    <col min="6" max="6" width="15.28515625" customWidth="1"/>
    <col min="7" max="7" width="25.140625" bestFit="1" customWidth="1"/>
    <col min="8" max="8" width="18" customWidth="1"/>
    <col min="9" max="9" width="19.5703125" customWidth="1"/>
    <col min="10" max="10" width="17.28515625" customWidth="1"/>
    <col min="11" max="11" width="2.42578125" customWidth="1"/>
    <col min="13" max="13" width="12" bestFit="1" customWidth="1"/>
  </cols>
  <sheetData>
    <row r="1" spans="1:10" ht="20.25" x14ac:dyDescent="0.3">
      <c r="D1" s="92">
        <v>44195</v>
      </c>
      <c r="F1" s="93">
        <v>2</v>
      </c>
      <c r="G1" s="93">
        <v>4</v>
      </c>
      <c r="H1" s="93">
        <v>3</v>
      </c>
      <c r="I1" s="93">
        <v>5</v>
      </c>
      <c r="J1" s="106">
        <v>6</v>
      </c>
    </row>
    <row r="2" spans="1:10" x14ac:dyDescent="0.2">
      <c r="A2" s="94" t="s">
        <v>331</v>
      </c>
      <c r="B2" s="94" t="s">
        <v>4</v>
      </c>
      <c r="C2" s="94" t="s">
        <v>332</v>
      </c>
      <c r="D2" t="s">
        <v>14</v>
      </c>
      <c r="F2" s="150" t="s">
        <v>333</v>
      </c>
      <c r="G2" s="150" t="s">
        <v>333</v>
      </c>
      <c r="H2" s="150" t="s">
        <v>334</v>
      </c>
      <c r="I2" s="150" t="s">
        <v>334</v>
      </c>
      <c r="J2" s="192"/>
    </row>
    <row r="3" spans="1:10" x14ac:dyDescent="0.2">
      <c r="D3" s="95" t="s">
        <v>335</v>
      </c>
      <c r="E3" s="661"/>
      <c r="F3" s="96" t="s">
        <v>336</v>
      </c>
      <c r="G3" s="96" t="s">
        <v>337</v>
      </c>
      <c r="H3" s="96" t="s">
        <v>338</v>
      </c>
      <c r="I3" s="189" t="s">
        <v>339</v>
      </c>
      <c r="J3" s="193"/>
    </row>
    <row r="4" spans="1:10" x14ac:dyDescent="0.2">
      <c r="D4" s="100" t="s">
        <v>340</v>
      </c>
      <c r="E4" s="662">
        <f>E18+E25+E32+E37</f>
        <v>359717932.96000004</v>
      </c>
      <c r="F4" s="98">
        <f>E4</f>
        <v>359717932.96000004</v>
      </c>
      <c r="G4" s="98">
        <f>G18+G25+G32+G36+G12</f>
        <v>2450348782.2200003</v>
      </c>
      <c r="H4" s="98" t="e">
        <f>H18+H25+H32+H36+H12</f>
        <v>#VALUE!</v>
      </c>
      <c r="I4" s="136">
        <f>I18+I25+I32+I36+I12</f>
        <v>0</v>
      </c>
      <c r="J4" s="193"/>
    </row>
    <row r="5" spans="1:10" x14ac:dyDescent="0.2">
      <c r="D5" s="97" t="s">
        <v>341</v>
      </c>
      <c r="E5" s="662">
        <f>E40+E43+E20+E22+E23</f>
        <v>2877627022.9000001</v>
      </c>
      <c r="F5" s="98">
        <f>F40+F43</f>
        <v>0</v>
      </c>
      <c r="G5" s="98">
        <f>G40+G43</f>
        <v>0</v>
      </c>
      <c r="H5" s="98">
        <f>H40+H43</f>
        <v>0</v>
      </c>
      <c r="I5" s="136">
        <f>I40+I43</f>
        <v>0</v>
      </c>
      <c r="J5" s="193"/>
    </row>
    <row r="6" spans="1:10" x14ac:dyDescent="0.2">
      <c r="D6" s="97" t="s">
        <v>342</v>
      </c>
      <c r="E6" s="662">
        <f>E4+E5</f>
        <v>3237344955.8600001</v>
      </c>
      <c r="F6" s="98">
        <f>F4+F5</f>
        <v>359717932.96000004</v>
      </c>
      <c r="G6" s="98">
        <f>G4+G5</f>
        <v>2450348782.2200003</v>
      </c>
      <c r="H6" s="98" t="e">
        <f>H4+H5</f>
        <v>#VALUE!</v>
      </c>
      <c r="I6" s="136">
        <f>I4+I5</f>
        <v>0</v>
      </c>
      <c r="J6" s="193"/>
    </row>
    <row r="7" spans="1:10" x14ac:dyDescent="0.2">
      <c r="D7" s="97"/>
      <c r="E7" s="662"/>
      <c r="F7" s="99"/>
      <c r="G7" s="99"/>
      <c r="H7" s="99"/>
      <c r="I7" s="99"/>
      <c r="J7" s="193"/>
    </row>
    <row r="8" spans="1:10" x14ac:dyDescent="0.2">
      <c r="D8" s="97" t="s">
        <v>343</v>
      </c>
      <c r="E8" s="662">
        <f>E49+E89+E186+E220+E279</f>
        <v>252348366.93999991</v>
      </c>
      <c r="F8" s="98">
        <f>E49+E89+E186+E220+E279</f>
        <v>252348366.93999991</v>
      </c>
      <c r="G8" s="98">
        <f>G49+G89+G186+G220+G279</f>
        <v>27260960</v>
      </c>
      <c r="H8" s="98">
        <f>H49+H89+H186+H220+H279</f>
        <v>124822574.05000001</v>
      </c>
      <c r="I8" s="190">
        <f>I49+I89+I186+I220+I279</f>
        <v>50536738.909499988</v>
      </c>
      <c r="J8" s="194">
        <f>J49+J89+J186+J220+J279</f>
        <v>5452195.0904999087</v>
      </c>
    </row>
    <row r="9" spans="1:10" x14ac:dyDescent="0.2">
      <c r="B9">
        <v>573781878</v>
      </c>
      <c r="D9" s="97" t="s">
        <v>344</v>
      </c>
      <c r="E9" s="663">
        <f>E237</f>
        <v>2984996586.1299996</v>
      </c>
      <c r="F9" s="98">
        <f t="shared" ref="F9:J9" si="0">F237</f>
        <v>1157039</v>
      </c>
      <c r="G9" s="98">
        <f t="shared" si="0"/>
        <v>1239684</v>
      </c>
      <c r="H9" s="98">
        <f t="shared" si="0"/>
        <v>2360552625.5999999</v>
      </c>
      <c r="I9" s="136">
        <f t="shared" si="0"/>
        <v>661164.85000010207</v>
      </c>
      <c r="J9" s="195">
        <f t="shared" si="0"/>
        <v>0</v>
      </c>
    </row>
    <row r="10" spans="1:10" x14ac:dyDescent="0.2">
      <c r="D10" s="101" t="s">
        <v>345</v>
      </c>
      <c r="E10" s="664">
        <f>E8+E9</f>
        <v>3237344953.0699997</v>
      </c>
      <c r="F10" s="102">
        <f t="shared" ref="F10:J10" si="1">F8+F9</f>
        <v>253505405.93999991</v>
      </c>
      <c r="G10" s="102">
        <f t="shared" si="1"/>
        <v>28500644</v>
      </c>
      <c r="H10" s="102">
        <f t="shared" si="1"/>
        <v>2485375199.6500001</v>
      </c>
      <c r="I10" s="191">
        <f t="shared" si="1"/>
        <v>51197903.759500086</v>
      </c>
      <c r="J10" s="196">
        <f t="shared" si="1"/>
        <v>5452195.0904999087</v>
      </c>
    </row>
    <row r="11" spans="1:10" x14ac:dyDescent="0.2">
      <c r="D11" s="103" t="s">
        <v>346</v>
      </c>
      <c r="E11" s="111">
        <f>E6-E10</f>
        <v>2.7900004386901855</v>
      </c>
      <c r="F11" s="99">
        <f>F10+G10+H10+I10+J10</f>
        <v>2824031348.4400001</v>
      </c>
      <c r="G11" s="99"/>
      <c r="H11" s="99"/>
      <c r="I11" s="99"/>
    </row>
    <row r="12" spans="1:10" x14ac:dyDescent="0.2">
      <c r="D12" s="83" t="s">
        <v>347</v>
      </c>
      <c r="E12" s="111">
        <f>E13+E14</f>
        <v>0</v>
      </c>
      <c r="F12" s="99"/>
      <c r="G12" s="99"/>
      <c r="H12" s="99"/>
      <c r="I12" s="99"/>
    </row>
    <row r="13" spans="1:10" ht="18" x14ac:dyDescent="0.25">
      <c r="D13" t="s">
        <v>348</v>
      </c>
      <c r="E13" s="111"/>
      <c r="F13" s="104">
        <v>2</v>
      </c>
      <c r="G13" s="105">
        <v>4</v>
      </c>
      <c r="H13" s="104">
        <v>3</v>
      </c>
      <c r="I13" s="104">
        <v>5</v>
      </c>
      <c r="J13" s="106">
        <v>6</v>
      </c>
    </row>
    <row r="14" spans="1:10" x14ac:dyDescent="0.2">
      <c r="D14" t="s">
        <v>349</v>
      </c>
      <c r="E14" s="111"/>
      <c r="F14" s="99"/>
      <c r="G14" s="99"/>
      <c r="H14" s="99"/>
      <c r="I14" s="99"/>
    </row>
    <row r="15" spans="1:10" x14ac:dyDescent="0.2">
      <c r="B15" s="863" t="s">
        <v>544</v>
      </c>
      <c r="E15" s="111"/>
      <c r="F15" s="99"/>
      <c r="G15" s="99"/>
      <c r="H15" s="99"/>
      <c r="I15" s="99"/>
      <c r="J15" s="89"/>
    </row>
    <row r="16" spans="1:10" x14ac:dyDescent="0.2">
      <c r="B16" s="864"/>
      <c r="D16" s="83" t="s">
        <v>350</v>
      </c>
      <c r="E16" s="111">
        <f>E18</f>
        <v>38464286.280000001</v>
      </c>
      <c r="F16" s="99"/>
      <c r="G16" s="111"/>
      <c r="H16" s="99"/>
      <c r="I16" s="99"/>
    </row>
    <row r="17" spans="1:9" ht="13.5" thickBot="1" x14ac:dyDescent="0.25">
      <c r="B17" s="864"/>
      <c r="D17" t="s">
        <v>351</v>
      </c>
      <c r="E17" s="111"/>
      <c r="F17" s="99"/>
      <c r="G17" s="99"/>
      <c r="H17" s="99"/>
      <c r="I17" s="99"/>
    </row>
    <row r="18" spans="1:9" ht="13.5" thickBot="1" x14ac:dyDescent="0.25">
      <c r="A18" s="107" t="s">
        <v>352</v>
      </c>
      <c r="B18" s="108"/>
      <c r="C18" s="108"/>
      <c r="D18" t="s">
        <v>353</v>
      </c>
      <c r="E18" s="665">
        <f>Resultado!B2</f>
        <v>38464286.280000001</v>
      </c>
      <c r="F18" s="109" t="s">
        <v>545</v>
      </c>
      <c r="G18" s="99"/>
      <c r="H18" s="865" t="s">
        <v>546</v>
      </c>
      <c r="I18" s="866"/>
    </row>
    <row r="19" spans="1:9" x14ac:dyDescent="0.2">
      <c r="A19" s="108" t="s">
        <v>354</v>
      </c>
      <c r="B19" s="108"/>
      <c r="C19" s="108"/>
      <c r="E19" s="111"/>
      <c r="F19" s="99"/>
      <c r="G19" s="99"/>
      <c r="H19" s="866"/>
      <c r="I19" s="866"/>
    </row>
    <row r="20" spans="1:9" ht="13.5" thickBot="1" x14ac:dyDescent="0.25">
      <c r="D20" s="83" t="s">
        <v>355</v>
      </c>
      <c r="E20" s="111">
        <f>E21</f>
        <v>166666666.63</v>
      </c>
      <c r="F20" s="99"/>
      <c r="G20" s="99"/>
      <c r="H20" s="866"/>
      <c r="I20" s="866"/>
    </row>
    <row r="21" spans="1:9" ht="13.5" thickBot="1" x14ac:dyDescent="0.25">
      <c r="A21" s="110" t="s">
        <v>356</v>
      </c>
      <c r="B21" s="108"/>
      <c r="C21" s="108"/>
      <c r="D21" t="s">
        <v>357</v>
      </c>
      <c r="E21" s="666">
        <f>Resultado!B4</f>
        <v>166666666.63</v>
      </c>
      <c r="F21" s="99"/>
      <c r="G21" s="99"/>
      <c r="H21" s="866"/>
      <c r="I21" s="866"/>
    </row>
    <row r="22" spans="1:9" s="184" customFormat="1" ht="13.5" thickBot="1" x14ac:dyDescent="0.25">
      <c r="A22" s="185"/>
      <c r="B22" s="184" t="s">
        <v>547</v>
      </c>
      <c r="D22" s="184" t="s">
        <v>550</v>
      </c>
      <c r="E22" s="667"/>
      <c r="F22" s="183"/>
      <c r="G22" s="183"/>
      <c r="H22" s="866"/>
      <c r="I22" s="866"/>
    </row>
    <row r="23" spans="1:9" ht="13.5" thickBot="1" x14ac:dyDescent="0.25">
      <c r="B23" s="184" t="s">
        <v>551</v>
      </c>
      <c r="C23" s="184"/>
      <c r="D23" s="184"/>
      <c r="E23" s="667"/>
      <c r="F23" s="183"/>
      <c r="G23" s="183">
        <f>E22+E23</f>
        <v>0</v>
      </c>
      <c r="H23" s="866"/>
      <c r="I23" s="866"/>
    </row>
    <row r="24" spans="1:9" x14ac:dyDescent="0.2">
      <c r="D24" s="83" t="s">
        <v>358</v>
      </c>
      <c r="E24" s="111"/>
      <c r="F24" s="99"/>
      <c r="G24" s="99"/>
      <c r="H24" s="866"/>
      <c r="I24" s="866"/>
    </row>
    <row r="25" spans="1:9" x14ac:dyDescent="0.2">
      <c r="D25" t="s">
        <v>39</v>
      </c>
      <c r="E25" s="111">
        <f>E27+E28+E29</f>
        <v>292709814.48999959</v>
      </c>
      <c r="F25" s="99" t="s">
        <v>545</v>
      </c>
      <c r="G25" s="99"/>
      <c r="H25" s="99"/>
      <c r="I25" s="99"/>
    </row>
    <row r="26" spans="1:9" ht="13.5" thickBot="1" x14ac:dyDescent="0.25">
      <c r="D26" t="s">
        <v>359</v>
      </c>
      <c r="E26" s="111"/>
      <c r="F26" s="99"/>
      <c r="G26" s="99"/>
      <c r="H26" s="99"/>
      <c r="I26" s="99"/>
    </row>
    <row r="27" spans="1:9" ht="13.5" thickBot="1" x14ac:dyDescent="0.25">
      <c r="D27" t="s">
        <v>360</v>
      </c>
      <c r="E27" s="668">
        <f>Resultado!B24</f>
        <v>250553474.93999958</v>
      </c>
      <c r="F27" s="112"/>
      <c r="G27" s="99"/>
      <c r="H27" s="99"/>
      <c r="I27" s="99"/>
    </row>
    <row r="28" spans="1:9" ht="13.5" thickBot="1" x14ac:dyDescent="0.25">
      <c r="D28" t="s">
        <v>361</v>
      </c>
      <c r="E28" s="669">
        <v>0</v>
      </c>
      <c r="F28" s="99"/>
      <c r="G28" s="99"/>
      <c r="H28" s="99"/>
      <c r="I28" s="99"/>
    </row>
    <row r="29" spans="1:9" ht="13.5" thickBot="1" x14ac:dyDescent="0.25">
      <c r="D29" t="s">
        <v>362</v>
      </c>
      <c r="E29" s="668">
        <f>Resultado!B26</f>
        <v>42156339.550000012</v>
      </c>
      <c r="F29" s="120"/>
      <c r="G29" s="99"/>
      <c r="H29" s="99"/>
      <c r="I29" s="99"/>
    </row>
    <row r="30" spans="1:9" x14ac:dyDescent="0.2">
      <c r="E30" s="111"/>
      <c r="F30" s="114"/>
      <c r="G30" s="99"/>
      <c r="H30" s="99"/>
      <c r="I30" s="99"/>
    </row>
    <row r="31" spans="1:9" x14ac:dyDescent="0.2">
      <c r="E31" s="111"/>
      <c r="F31" s="114"/>
      <c r="G31" s="99"/>
      <c r="H31" s="99"/>
      <c r="I31" s="99"/>
    </row>
    <row r="32" spans="1:9" x14ac:dyDescent="0.2">
      <c r="D32" t="s">
        <v>363</v>
      </c>
      <c r="E32" s="111">
        <f>E34</f>
        <v>0</v>
      </c>
      <c r="F32" s="114" t="s">
        <v>545</v>
      </c>
      <c r="G32" s="99"/>
      <c r="H32" s="99"/>
      <c r="I32" s="99"/>
    </row>
    <row r="33" spans="3:10" x14ac:dyDescent="0.2">
      <c r="D33" t="s">
        <v>359</v>
      </c>
      <c r="E33" s="111"/>
      <c r="F33" s="114"/>
      <c r="G33" s="99"/>
      <c r="H33" s="99"/>
      <c r="I33" s="99"/>
    </row>
    <row r="34" spans="3:10" x14ac:dyDescent="0.2">
      <c r="D34" t="s">
        <v>364</v>
      </c>
      <c r="E34" s="111"/>
      <c r="F34" s="114"/>
      <c r="G34" s="99"/>
      <c r="H34" s="99"/>
      <c r="I34" s="99"/>
    </row>
    <row r="35" spans="3:10" x14ac:dyDescent="0.2">
      <c r="E35" s="111"/>
      <c r="F35" s="114"/>
      <c r="G35" s="99"/>
      <c r="H35" s="99"/>
      <c r="I35" s="99"/>
    </row>
    <row r="36" spans="3:10" ht="13.5" thickBot="1" x14ac:dyDescent="0.25">
      <c r="D36" t="s">
        <v>365</v>
      </c>
      <c r="E36" s="111"/>
      <c r="F36" s="114"/>
      <c r="G36" s="99">
        <f>E22+E21+E40</f>
        <v>2450348782.2200003</v>
      </c>
      <c r="H36" s="99"/>
      <c r="I36" s="99"/>
    </row>
    <row r="37" spans="3:10" ht="13.5" thickBot="1" x14ac:dyDescent="0.25">
      <c r="D37" t="s">
        <v>366</v>
      </c>
      <c r="E37" s="113">
        <f>E38-E25-E16</f>
        <v>28543832.190000445</v>
      </c>
      <c r="F37" s="114"/>
      <c r="G37" s="99"/>
      <c r="H37" s="99"/>
      <c r="I37" s="99"/>
    </row>
    <row r="38" spans="3:10" x14ac:dyDescent="0.2">
      <c r="D38" s="86" t="s">
        <v>539</v>
      </c>
      <c r="E38" s="176">
        <f>Resultado!B34</f>
        <v>359717932.96000004</v>
      </c>
      <c r="F38" s="114" t="b">
        <f>E38=E4</f>
        <v>1</v>
      </c>
      <c r="G38" s="99"/>
      <c r="H38" s="99"/>
      <c r="I38" s="99"/>
    </row>
    <row r="39" spans="3:10" x14ac:dyDescent="0.2">
      <c r="E39" s="111" t="s">
        <v>14</v>
      </c>
      <c r="F39" s="114"/>
      <c r="G39" s="99"/>
      <c r="H39" s="99"/>
      <c r="I39" s="99"/>
    </row>
    <row r="40" spans="3:10" x14ac:dyDescent="0.2">
      <c r="D40" t="s">
        <v>367</v>
      </c>
      <c r="E40" s="670">
        <f>E41</f>
        <v>2283682115.5900002</v>
      </c>
      <c r="F40" s="114"/>
      <c r="G40" s="99"/>
      <c r="H40" s="99"/>
      <c r="I40" s="99"/>
    </row>
    <row r="41" spans="3:10" x14ac:dyDescent="0.2">
      <c r="C41" t="s">
        <v>368</v>
      </c>
      <c r="D41" t="s">
        <v>369</v>
      </c>
      <c r="E41" s="180">
        <f>Resultado!B16</f>
        <v>2283682115.5900002</v>
      </c>
      <c r="F41" s="115" t="s">
        <v>609</v>
      </c>
      <c r="G41" s="99"/>
      <c r="H41" s="99"/>
      <c r="I41" s="99"/>
    </row>
    <row r="42" spans="3:10" x14ac:dyDescent="0.2">
      <c r="E42" s="111"/>
      <c r="F42" s="114"/>
      <c r="G42" s="99"/>
      <c r="H42" s="99"/>
      <c r="I42" s="99"/>
    </row>
    <row r="43" spans="3:10" x14ac:dyDescent="0.2">
      <c r="D43" t="s">
        <v>370</v>
      </c>
      <c r="E43" s="111">
        <f>E44+E45+E46</f>
        <v>427278240.68000001</v>
      </c>
      <c r="F43" s="99"/>
      <c r="G43" s="99"/>
      <c r="H43" s="99"/>
      <c r="I43" s="99"/>
    </row>
    <row r="44" spans="3:10" x14ac:dyDescent="0.2">
      <c r="C44" t="s">
        <v>371</v>
      </c>
      <c r="D44" s="86" t="s">
        <v>372</v>
      </c>
      <c r="E44" s="671">
        <f>Resultado!B9</f>
        <v>427278240.68000001</v>
      </c>
      <c r="F44" s="366" t="s">
        <v>589</v>
      </c>
      <c r="G44" s="99"/>
      <c r="H44" s="99"/>
      <c r="I44" s="99"/>
    </row>
    <row r="45" spans="3:10" ht="13.5" thickBot="1" x14ac:dyDescent="0.25">
      <c r="C45">
        <v>31131</v>
      </c>
      <c r="D45" t="s">
        <v>373</v>
      </c>
      <c r="E45" s="672"/>
      <c r="F45" s="99"/>
      <c r="G45" s="99"/>
      <c r="H45" s="99"/>
      <c r="I45" s="99"/>
    </row>
    <row r="46" spans="3:10" ht="16.5" thickBot="1" x14ac:dyDescent="0.3">
      <c r="C46" t="s">
        <v>374</v>
      </c>
      <c r="D46" t="s">
        <v>375</v>
      </c>
      <c r="E46" s="673">
        <f>Resultado!B11</f>
        <v>0</v>
      </c>
      <c r="F46" s="99"/>
      <c r="G46" s="99"/>
      <c r="H46" s="99"/>
      <c r="I46" s="99"/>
      <c r="J46" s="117"/>
    </row>
    <row r="47" spans="3:10" ht="18" x14ac:dyDescent="0.25">
      <c r="E47" s="111"/>
      <c r="F47" s="118">
        <v>2</v>
      </c>
      <c r="G47" s="119">
        <v>4</v>
      </c>
      <c r="H47" s="118">
        <v>3</v>
      </c>
      <c r="I47" s="118">
        <v>5</v>
      </c>
      <c r="J47" s="118">
        <v>6</v>
      </c>
    </row>
    <row r="48" spans="3:10" x14ac:dyDescent="0.2">
      <c r="E48" s="111"/>
      <c r="F48" s="99"/>
      <c r="G48" s="99"/>
      <c r="H48" s="99"/>
      <c r="I48" s="99"/>
    </row>
    <row r="49" spans="1:11" x14ac:dyDescent="0.2">
      <c r="A49">
        <v>1</v>
      </c>
      <c r="D49" s="203" t="s">
        <v>376</v>
      </c>
      <c r="E49" s="674">
        <f>E50+E69+E85+E75</f>
        <v>110657662.44999993</v>
      </c>
      <c r="F49" s="204">
        <f>F50+F54+F60+F64+F69+F75+F85</f>
        <v>15557048.309999999</v>
      </c>
      <c r="G49" s="204">
        <f>G50+G54+G59+G64+G69+G75+G85</f>
        <v>16034519</v>
      </c>
      <c r="H49" s="204">
        <f>H50+H54+H59+H64+H69+H75+H85</f>
        <v>70520624.920000002</v>
      </c>
      <c r="I49" s="204">
        <f>I50+I54+I59+I64+I69+I75+I85</f>
        <v>5338561.8850000007</v>
      </c>
      <c r="J49" s="204">
        <f>+J50+J54+J59+J64+J69+J75+J85</f>
        <v>3206908.3349999269</v>
      </c>
    </row>
    <row r="50" spans="1:11" x14ac:dyDescent="0.2">
      <c r="B50">
        <v>11</v>
      </c>
      <c r="D50" s="86" t="s">
        <v>377</v>
      </c>
      <c r="E50" s="111">
        <f>E51+E54+E61+E64</f>
        <v>99838852.48999992</v>
      </c>
      <c r="F50" s="99">
        <f>F52</f>
        <v>8525469</v>
      </c>
      <c r="G50" s="99">
        <f>G52</f>
        <v>9134431</v>
      </c>
      <c r="H50" s="99">
        <f>H52</f>
        <v>38364609</v>
      </c>
      <c r="I50" s="99">
        <f>I52</f>
        <v>3044810</v>
      </c>
      <c r="J50" s="99">
        <f>+J52</f>
        <v>1826885.9699999094</v>
      </c>
    </row>
    <row r="51" spans="1:11" ht="13.5" thickBot="1" x14ac:dyDescent="0.25">
      <c r="C51">
        <v>111</v>
      </c>
      <c r="D51" s="86" t="s">
        <v>59</v>
      </c>
      <c r="E51" s="111">
        <f>E52</f>
        <v>60896204.969999909</v>
      </c>
      <c r="F51" s="99"/>
      <c r="G51" s="99"/>
      <c r="H51" s="99"/>
      <c r="I51" s="99"/>
    </row>
    <row r="52" spans="1:11" ht="13.5" thickBot="1" x14ac:dyDescent="0.25">
      <c r="C52" s="110" t="s">
        <v>378</v>
      </c>
      <c r="D52" s="108" t="s">
        <v>379</v>
      </c>
      <c r="E52" s="675">
        <f>Resultado!B58</f>
        <v>60896204.969999909</v>
      </c>
      <c r="F52" s="120">
        <f>ROUND(E52*0.14,0)</f>
        <v>8525469</v>
      </c>
      <c r="G52" s="114">
        <f>ROUND(E52*0.15,0)</f>
        <v>9134431</v>
      </c>
      <c r="H52" s="114">
        <f>ROUND(E52*0.63,0)</f>
        <v>38364609</v>
      </c>
      <c r="I52" s="114">
        <f>ROUND(E52*0.05,0)</f>
        <v>3044810</v>
      </c>
      <c r="J52" s="114">
        <f>+E52-F52-G52-H52-I52</f>
        <v>1826885.9699999094</v>
      </c>
    </row>
    <row r="53" spans="1:11" x14ac:dyDescent="0.2">
      <c r="E53" s="111"/>
      <c r="F53" s="114"/>
      <c r="G53" s="114"/>
      <c r="H53" s="114"/>
      <c r="I53" s="114"/>
    </row>
    <row r="54" spans="1:11" ht="13.5" thickBot="1" x14ac:dyDescent="0.25">
      <c r="C54">
        <v>112</v>
      </c>
      <c r="D54" t="s">
        <v>380</v>
      </c>
      <c r="E54" s="111">
        <f>E55+E56</f>
        <v>94165.550000000047</v>
      </c>
      <c r="F54" s="114">
        <f>F55+F56</f>
        <v>7533</v>
      </c>
      <c r="G54" s="114">
        <f>G55+G56</f>
        <v>32958</v>
      </c>
      <c r="H54" s="114">
        <f>H55+H56</f>
        <v>42374</v>
      </c>
      <c r="I54" s="114">
        <f>I55+I56</f>
        <v>4708</v>
      </c>
      <c r="J54" s="114">
        <f t="shared" ref="J54" si="2">+J55+J56</f>
        <v>6592.5500000000466</v>
      </c>
    </row>
    <row r="55" spans="1:11" ht="13.5" thickBot="1" x14ac:dyDescent="0.25">
      <c r="C55" s="121" t="s">
        <v>381</v>
      </c>
      <c r="D55" s="121" t="s">
        <v>382</v>
      </c>
      <c r="E55" s="676">
        <f>Resultado!B61</f>
        <v>94165.550000000047</v>
      </c>
      <c r="F55" s="114">
        <f>ROUND(E55*0.08,0)</f>
        <v>7533</v>
      </c>
      <c r="G55" s="114">
        <f>ROUND(E55*0.35,0)</f>
        <v>32958</v>
      </c>
      <c r="H55" s="114">
        <f>ROUND(E55*0.45,0)</f>
        <v>42374</v>
      </c>
      <c r="I55" s="114">
        <f>ROUND(E55*0.05,0)</f>
        <v>4708</v>
      </c>
      <c r="J55" s="114">
        <f>+E55-F55-G55-H55-I55</f>
        <v>6592.5500000000466</v>
      </c>
    </row>
    <row r="56" spans="1:11" x14ac:dyDescent="0.2">
      <c r="C56" s="122" t="s">
        <v>383</v>
      </c>
      <c r="D56" s="122" t="s">
        <v>384</v>
      </c>
      <c r="E56" s="677">
        <v>0</v>
      </c>
      <c r="F56" s="114">
        <f>ROUND(E56*0.08,0)</f>
        <v>0</v>
      </c>
      <c r="G56" s="114">
        <f>ROUND(E56*0.35,0)</f>
        <v>0</v>
      </c>
      <c r="H56" s="114">
        <f>ROUND(E56*0.45,0)</f>
        <v>0</v>
      </c>
      <c r="I56" s="114">
        <f>ROUND(E56*0.05,0)</f>
        <v>0</v>
      </c>
      <c r="J56" s="114">
        <f>+E56-F56-G56-H56-I56</f>
        <v>0</v>
      </c>
      <c r="K56" s="91"/>
    </row>
    <row r="57" spans="1:11" x14ac:dyDescent="0.2">
      <c r="D57" s="108" t="s">
        <v>385</v>
      </c>
      <c r="E57" s="143"/>
      <c r="F57" s="114"/>
      <c r="G57" s="114"/>
      <c r="H57" s="114"/>
      <c r="I57" s="120"/>
    </row>
    <row r="58" spans="1:11" x14ac:dyDescent="0.2">
      <c r="E58" s="111"/>
      <c r="F58" s="114"/>
      <c r="G58" s="114"/>
      <c r="H58" s="114"/>
      <c r="I58" s="120"/>
    </row>
    <row r="59" spans="1:11" x14ac:dyDescent="0.2">
      <c r="D59" t="s">
        <v>132</v>
      </c>
      <c r="E59" s="111">
        <f>E61</f>
        <v>12916001.980000019</v>
      </c>
      <c r="G59" s="114">
        <f>G61</f>
        <v>1937400</v>
      </c>
      <c r="H59" s="114">
        <f>H61</f>
        <v>8137081</v>
      </c>
      <c r="I59" s="120">
        <f>I61</f>
        <v>645800.09900000098</v>
      </c>
      <c r="J59" s="120">
        <f>+J61</f>
        <v>387480.8810000181</v>
      </c>
    </row>
    <row r="60" spans="1:11" ht="13.5" thickBot="1" x14ac:dyDescent="0.25">
      <c r="E60" s="111"/>
      <c r="F60" s="114">
        <f>F61</f>
        <v>1808240</v>
      </c>
      <c r="G60" s="114"/>
      <c r="H60" s="114"/>
      <c r="I60" s="114"/>
    </row>
    <row r="61" spans="1:11" ht="13.5" thickBot="1" x14ac:dyDescent="0.25">
      <c r="C61">
        <v>114</v>
      </c>
      <c r="D61" s="122" t="s">
        <v>386</v>
      </c>
      <c r="E61" s="675">
        <f>Resultado!B65</f>
        <v>12916001.980000019</v>
      </c>
      <c r="F61" s="114">
        <f>ROUND(E61*0.14,0)</f>
        <v>1808240</v>
      </c>
      <c r="G61" s="114">
        <f>ROUND(E61*0.15,0)</f>
        <v>1937400</v>
      </c>
      <c r="H61" s="114">
        <f>ROUND(E61*0.63,0)</f>
        <v>8137081</v>
      </c>
      <c r="I61" s="114">
        <f>E61*0.05</f>
        <v>645800.09900000098</v>
      </c>
      <c r="J61" s="114">
        <f>+E61-F61-G61-H61-I61</f>
        <v>387480.8810000181</v>
      </c>
    </row>
    <row r="62" spans="1:11" x14ac:dyDescent="0.2">
      <c r="E62" s="111"/>
      <c r="F62" s="114"/>
      <c r="G62" s="114"/>
      <c r="H62" s="114"/>
      <c r="I62" s="114"/>
      <c r="J62" s="91"/>
    </row>
    <row r="63" spans="1:11" x14ac:dyDescent="0.2">
      <c r="E63" s="111"/>
      <c r="F63" s="114"/>
      <c r="G63" s="114"/>
      <c r="H63" s="114"/>
      <c r="I63" s="114"/>
    </row>
    <row r="64" spans="1:11" x14ac:dyDescent="0.2">
      <c r="C64">
        <v>115</v>
      </c>
      <c r="D64" t="s">
        <v>61</v>
      </c>
      <c r="E64" s="111">
        <f>+E65+E66</f>
        <v>25932479.989999995</v>
      </c>
      <c r="F64" s="114">
        <f>F65+F66</f>
        <v>3630547</v>
      </c>
      <c r="G64" s="114">
        <f>G65+G66</f>
        <v>3889872</v>
      </c>
      <c r="H64" s="114">
        <f>H66</f>
        <v>16337462</v>
      </c>
      <c r="I64" s="114">
        <f>I66</f>
        <v>1296623.9994999999</v>
      </c>
      <c r="J64" s="114">
        <f>+J66</f>
        <v>777974.99049999472</v>
      </c>
    </row>
    <row r="65" spans="2:10" ht="13.5" thickBot="1" x14ac:dyDescent="0.25">
      <c r="C65" s="86"/>
      <c r="D65" s="121"/>
      <c r="E65" s="678"/>
      <c r="F65" s="114">
        <f>E65</f>
        <v>0</v>
      </c>
      <c r="G65" s="114"/>
      <c r="H65" s="114"/>
      <c r="I65" s="114"/>
    </row>
    <row r="66" spans="2:10" ht="13.5" thickBot="1" x14ac:dyDescent="0.25">
      <c r="C66" s="86" t="s">
        <v>387</v>
      </c>
      <c r="D66" s="123" t="s">
        <v>388</v>
      </c>
      <c r="E66" s="675">
        <f>Resultado!B70</f>
        <v>25932479.989999995</v>
      </c>
      <c r="F66" s="114">
        <f>ROUND(E66*0.14,0)</f>
        <v>3630547</v>
      </c>
      <c r="G66" s="114">
        <f>ROUND(E66*0.15,0)</f>
        <v>3889872</v>
      </c>
      <c r="H66" s="114">
        <f>ROUND(E66*0.63,0)</f>
        <v>16337462</v>
      </c>
      <c r="I66" s="114">
        <f>E66*0.05</f>
        <v>1296623.9994999999</v>
      </c>
      <c r="J66" s="114">
        <f>+E66-F66-G66-H66-I66</f>
        <v>777974.99049999472</v>
      </c>
    </row>
    <row r="67" spans="2:10" x14ac:dyDescent="0.2">
      <c r="E67" s="111"/>
      <c r="F67" s="114"/>
      <c r="G67" s="114"/>
      <c r="H67" s="114"/>
      <c r="I67" s="114"/>
    </row>
    <row r="68" spans="2:10" x14ac:dyDescent="0.2">
      <c r="E68" s="111"/>
      <c r="F68" s="114"/>
      <c r="G68" s="114"/>
      <c r="H68" s="114"/>
      <c r="I68" s="114"/>
    </row>
    <row r="69" spans="2:10" x14ac:dyDescent="0.2">
      <c r="B69">
        <v>12</v>
      </c>
      <c r="D69" s="86" t="s">
        <v>100</v>
      </c>
      <c r="E69" s="111">
        <f>E70</f>
        <v>1590616.4800000014</v>
      </c>
      <c r="F69" s="114">
        <f>F70</f>
        <v>751349.30999999959</v>
      </c>
      <c r="G69" s="114">
        <f>G70</f>
        <v>146384</v>
      </c>
      <c r="H69" s="114">
        <f t="shared" ref="H69:J69" si="3">+H70</f>
        <v>614812</v>
      </c>
      <c r="I69" s="114">
        <f>I70</f>
        <v>48794.608500000089</v>
      </c>
      <c r="J69" s="114">
        <f t="shared" si="3"/>
        <v>29276.561500001699</v>
      </c>
    </row>
    <row r="70" spans="2:10" x14ac:dyDescent="0.2">
      <c r="C70">
        <v>122</v>
      </c>
      <c r="D70" s="86" t="s">
        <v>105</v>
      </c>
      <c r="E70" s="111">
        <f>E72+E73</f>
        <v>1590616.4800000014</v>
      </c>
      <c r="F70" s="114">
        <f>F72+F73</f>
        <v>751349.30999999959</v>
      </c>
      <c r="G70" s="114">
        <f>G72+G73</f>
        <v>146384</v>
      </c>
      <c r="H70" s="114">
        <f t="shared" ref="H70:J70" si="4">+H72+H73</f>
        <v>614812</v>
      </c>
      <c r="I70" s="114">
        <f>I72+I73</f>
        <v>48794.608500000089</v>
      </c>
      <c r="J70" s="114">
        <f t="shared" si="4"/>
        <v>29276.561500001699</v>
      </c>
    </row>
    <row r="71" spans="2:10" ht="13.5" thickBot="1" x14ac:dyDescent="0.25">
      <c r="E71" s="111"/>
      <c r="F71" s="114"/>
      <c r="G71" s="114"/>
      <c r="H71" s="114"/>
      <c r="I71" s="114"/>
    </row>
    <row r="72" spans="2:10" ht="13.5" thickBot="1" x14ac:dyDescent="0.25">
      <c r="C72" t="s">
        <v>106</v>
      </c>
      <c r="D72" s="123" t="s">
        <v>389</v>
      </c>
      <c r="E72" s="675">
        <f>Resultado!B71</f>
        <v>614724.30999999959</v>
      </c>
      <c r="F72" s="114">
        <f>E72</f>
        <v>614724.30999999959</v>
      </c>
      <c r="G72" s="114"/>
      <c r="H72" s="114"/>
      <c r="I72" s="114"/>
    </row>
    <row r="73" spans="2:10" ht="13.5" thickBot="1" x14ac:dyDescent="0.25">
      <c r="C73" s="86" t="s">
        <v>390</v>
      </c>
      <c r="D73" s="123" t="s">
        <v>391</v>
      </c>
      <c r="E73" s="675">
        <f>Resultado!B66</f>
        <v>975892.17000000179</v>
      </c>
      <c r="F73" s="114">
        <f>ROUND(E73*0.14,0)</f>
        <v>136625</v>
      </c>
      <c r="G73" s="114">
        <f>ROUND(E73*0.15,0)</f>
        <v>146384</v>
      </c>
      <c r="H73" s="114">
        <f>ROUND(E73*0.63,0)</f>
        <v>614812</v>
      </c>
      <c r="I73" s="114">
        <f>+E73*0.05</f>
        <v>48794.608500000089</v>
      </c>
      <c r="J73" s="114">
        <f>+E73-F73-G73-H73-I73</f>
        <v>29276.561500001699</v>
      </c>
    </row>
    <row r="74" spans="2:10" x14ac:dyDescent="0.2">
      <c r="C74" s="86"/>
      <c r="D74" s="124"/>
      <c r="E74" s="679"/>
      <c r="F74" s="114"/>
      <c r="G74" s="114"/>
      <c r="H74" s="114"/>
      <c r="I74" s="114"/>
    </row>
    <row r="75" spans="2:10" x14ac:dyDescent="0.2">
      <c r="B75">
        <v>14</v>
      </c>
      <c r="C75" s="86"/>
      <c r="D75" s="124" t="s">
        <v>608</v>
      </c>
      <c r="E75" s="680">
        <f>F75+G75+H75+I75+J75</f>
        <v>4913443.78</v>
      </c>
      <c r="F75" s="114">
        <f>F76</f>
        <v>229845</v>
      </c>
      <c r="G75" s="114">
        <f>G76</f>
        <v>246262</v>
      </c>
      <c r="H75" s="114">
        <f t="shared" ref="H75:J76" si="5">+H76</f>
        <v>4305994.92</v>
      </c>
      <c r="I75" s="114">
        <f t="shared" si="5"/>
        <v>82087.693000000014</v>
      </c>
      <c r="J75" s="114">
        <f t="shared" si="5"/>
        <v>49254.167000000314</v>
      </c>
    </row>
    <row r="76" spans="2:10" x14ac:dyDescent="0.2">
      <c r="C76" s="86">
        <v>142</v>
      </c>
      <c r="D76" s="86" t="s">
        <v>392</v>
      </c>
      <c r="E76" s="111">
        <f>E78+E79+E80+E81+E82+E83</f>
        <v>4913443.78</v>
      </c>
      <c r="F76" s="114">
        <f>F78+F79+F80+F81+F82+F83</f>
        <v>229845</v>
      </c>
      <c r="G76" s="114">
        <f>G77</f>
        <v>246262</v>
      </c>
      <c r="H76" s="114">
        <f t="shared" si="5"/>
        <v>4305994.92</v>
      </c>
      <c r="I76" s="114">
        <f t="shared" si="5"/>
        <v>82087.693000000014</v>
      </c>
      <c r="J76" s="114">
        <f t="shared" si="5"/>
        <v>49254.167000000314</v>
      </c>
    </row>
    <row r="77" spans="2:10" x14ac:dyDescent="0.2">
      <c r="C77" s="86" t="s">
        <v>393</v>
      </c>
      <c r="D77" s="86" t="s">
        <v>394</v>
      </c>
      <c r="E77" s="111">
        <f>E78+E79+E80+E81+E82+E83</f>
        <v>4913443.78</v>
      </c>
      <c r="F77" s="120">
        <f>F78+F79+F80+F81+F82+F83</f>
        <v>229845</v>
      </c>
      <c r="G77" s="120">
        <f>G78+G79+G80+G81+G82+G83</f>
        <v>246262</v>
      </c>
      <c r="H77" s="120">
        <f>+H78+H79+H80+H81+H82+H83</f>
        <v>4305994.92</v>
      </c>
      <c r="I77" s="120">
        <f t="shared" ref="I77:J77" si="6">+I78+I79+I80+I81+I82+I83</f>
        <v>82087.693000000014</v>
      </c>
      <c r="J77" s="120">
        <f t="shared" si="6"/>
        <v>49254.167000000314</v>
      </c>
    </row>
    <row r="78" spans="2:10" ht="13.5" thickBot="1" x14ac:dyDescent="0.25">
      <c r="C78" s="86"/>
      <c r="D78" s="121" t="s">
        <v>395</v>
      </c>
      <c r="E78" s="677">
        <v>0</v>
      </c>
      <c r="F78" s="114">
        <f>E78</f>
        <v>0</v>
      </c>
      <c r="G78" s="114">
        <v>0</v>
      </c>
      <c r="H78" s="114">
        <v>0</v>
      </c>
      <c r="I78" s="114">
        <f>+E78*0.05</f>
        <v>0</v>
      </c>
    </row>
    <row r="79" spans="2:10" ht="13.5" thickBot="1" x14ac:dyDescent="0.25">
      <c r="C79" s="86"/>
      <c r="D79" s="126" t="s">
        <v>396</v>
      </c>
      <c r="E79" s="675">
        <f>Resultado!B81</f>
        <v>1518469.5600000005</v>
      </c>
      <c r="F79" s="114">
        <f>ROUND(E79*0.14,0)</f>
        <v>212586</v>
      </c>
      <c r="G79" s="114">
        <f>ROUND(E79*0.15,0)</f>
        <v>227770</v>
      </c>
      <c r="H79" s="114">
        <f>ROUND(E79*0.63,0)</f>
        <v>956636</v>
      </c>
      <c r="I79" s="114">
        <f>+E79*0.05</f>
        <v>75923.478000000032</v>
      </c>
      <c r="J79" s="114">
        <f>+E79-F79-G79-H79-I79</f>
        <v>45554.08200000049</v>
      </c>
    </row>
    <row r="80" spans="2:10" x14ac:dyDescent="0.2">
      <c r="C80" s="86"/>
      <c r="D80" s="121" t="s">
        <v>397</v>
      </c>
      <c r="E80" s="681">
        <f>Resultado!B69</f>
        <v>0</v>
      </c>
      <c r="F80" s="114">
        <f>E80</f>
        <v>0</v>
      </c>
      <c r="G80" s="114"/>
      <c r="H80" s="114"/>
      <c r="I80" s="114">
        <f>+E80*0.05</f>
        <v>0</v>
      </c>
      <c r="J80" s="114">
        <f>+E80-F80-G80-H80-I80</f>
        <v>0</v>
      </c>
    </row>
    <row r="81" spans="1:11" ht="13.5" thickBot="1" x14ac:dyDescent="0.25">
      <c r="C81" s="86"/>
      <c r="D81" s="121" t="s">
        <v>398</v>
      </c>
      <c r="E81" s="677">
        <f>Resultado!B67</f>
        <v>3271689.92</v>
      </c>
      <c r="F81" s="114"/>
      <c r="G81" s="114"/>
      <c r="H81" s="114">
        <f>E81</f>
        <v>3271689.92</v>
      </c>
      <c r="I81" s="114"/>
      <c r="J81" s="114">
        <f>+E81-F81-G81-H81-I81</f>
        <v>0</v>
      </c>
    </row>
    <row r="82" spans="1:11" ht="13.5" thickBot="1" x14ac:dyDescent="0.25">
      <c r="C82" s="86"/>
      <c r="D82" s="121" t="s">
        <v>260</v>
      </c>
      <c r="E82" s="675">
        <f>Resultado!B85</f>
        <v>39388</v>
      </c>
      <c r="F82" s="114">
        <f>ROUND(E82*0.14,0)</f>
        <v>5514</v>
      </c>
      <c r="G82" s="114">
        <f>ROUND(E82*0.15,0)</f>
        <v>5908</v>
      </c>
      <c r="H82" s="114">
        <f>ROUND(E82*0.63,0)</f>
        <v>24814</v>
      </c>
      <c r="I82" s="114">
        <f>+E82*0.05</f>
        <v>1969.4</v>
      </c>
      <c r="J82" s="114">
        <f>+E82-F82-G82-H82-I82</f>
        <v>1182.5999999999999</v>
      </c>
    </row>
    <row r="83" spans="1:11" ht="13.5" thickBot="1" x14ac:dyDescent="0.25">
      <c r="C83" s="86"/>
      <c r="D83" s="123" t="s">
        <v>399</v>
      </c>
      <c r="E83" s="675">
        <f>Resultado!B88</f>
        <v>83896.299999999814</v>
      </c>
      <c r="F83" s="114">
        <f>ROUND(E83*0.14,0)</f>
        <v>11745</v>
      </c>
      <c r="G83" s="114">
        <f>ROUND(E83*0.15,0)</f>
        <v>12584</v>
      </c>
      <c r="H83" s="114">
        <f>ROUND(E83*0.63,0)</f>
        <v>52855</v>
      </c>
      <c r="I83" s="114">
        <f>+E83*0.05</f>
        <v>4194.8149999999905</v>
      </c>
      <c r="J83" s="114">
        <f>+E83-F83-G83-H83-I83</f>
        <v>2517.4849999998232</v>
      </c>
    </row>
    <row r="84" spans="1:11" x14ac:dyDescent="0.2">
      <c r="C84" s="86"/>
      <c r="D84" s="124"/>
      <c r="E84" s="679"/>
      <c r="F84" s="114"/>
      <c r="G84" s="114"/>
      <c r="H84" s="114"/>
      <c r="I84" s="114"/>
    </row>
    <row r="85" spans="1:11" ht="13.5" thickBot="1" x14ac:dyDescent="0.25">
      <c r="B85">
        <v>15</v>
      </c>
      <c r="D85" s="86" t="s">
        <v>64</v>
      </c>
      <c r="E85" s="111">
        <f>E86</f>
        <v>4314749.700000003</v>
      </c>
      <c r="F85" s="127">
        <f>F86</f>
        <v>604065</v>
      </c>
      <c r="G85" s="114">
        <f>G86</f>
        <v>647212</v>
      </c>
      <c r="H85" s="114">
        <f>H86</f>
        <v>2718292</v>
      </c>
      <c r="I85" s="114">
        <f t="shared" ref="I85:J85" si="7">+I86</f>
        <v>215737.48500000016</v>
      </c>
      <c r="J85" s="114">
        <f t="shared" si="7"/>
        <v>129443.21500000282</v>
      </c>
    </row>
    <row r="86" spans="1:11" ht="13.5" thickBot="1" x14ac:dyDescent="0.25">
      <c r="C86">
        <v>152</v>
      </c>
      <c r="D86" s="123" t="s">
        <v>400</v>
      </c>
      <c r="E86" s="675">
        <f>Resultado!B87</f>
        <v>4314749.700000003</v>
      </c>
      <c r="F86" s="114">
        <f>ROUND(E86*0.14,0)</f>
        <v>604065</v>
      </c>
      <c r="G86" s="114">
        <f>ROUND(E86*0.15,0)</f>
        <v>647212</v>
      </c>
      <c r="H86" s="114">
        <f>ROUND(E86*0.63,0)</f>
        <v>2718292</v>
      </c>
      <c r="I86" s="114">
        <f>+E86*0.05</f>
        <v>215737.48500000016</v>
      </c>
      <c r="J86" s="114">
        <f>+E86-F86-G86-H86-I86</f>
        <v>129443.21500000282</v>
      </c>
    </row>
    <row r="87" spans="1:11" x14ac:dyDescent="0.2">
      <c r="D87" s="86"/>
      <c r="E87" s="682"/>
      <c r="F87" s="114"/>
      <c r="G87" s="114"/>
      <c r="H87" s="114"/>
      <c r="I87" s="114"/>
      <c r="J87" s="114"/>
    </row>
    <row r="88" spans="1:11" x14ac:dyDescent="0.2">
      <c r="E88" s="188"/>
      <c r="F88" s="114"/>
      <c r="G88" s="114"/>
      <c r="H88" s="114"/>
      <c r="I88" s="114">
        <f>I89+I155</f>
        <v>1175863.9835000003</v>
      </c>
      <c r="J88" s="114">
        <f t="shared" ref="J88" si="8">J89+J155</f>
        <v>705520.56649999798</v>
      </c>
    </row>
    <row r="89" spans="1:11" x14ac:dyDescent="0.2">
      <c r="A89">
        <v>2</v>
      </c>
      <c r="D89" s="86" t="s">
        <v>111</v>
      </c>
      <c r="E89" s="188">
        <f>E90+E99+E105+E109+E112+E124+E138+E157+E175+E154</f>
        <v>48618835.249999993</v>
      </c>
      <c r="F89" s="120">
        <f>+F90+F99+F105+F109+F112+F124+F138+F157+F175</f>
        <v>22250390.57</v>
      </c>
      <c r="G89" s="120">
        <f>G90+G99+G105+G109+G112+G124+G138+G157+G175</f>
        <v>3504391</v>
      </c>
      <c r="H89" s="120">
        <f>+H90+H99+H105+H109+H112+H124+H138+H157+H175</f>
        <v>21869341.130000003</v>
      </c>
      <c r="I89" s="120">
        <f>+I90+I99+I105+I109+I112+I124+I138+I157+I175</f>
        <v>1168129.9830000002</v>
      </c>
      <c r="J89" s="120">
        <f t="shared" ref="J89" si="9">+J90+J99+J105+J109+J112+J124+J138+J157+J175</f>
        <v>700879.55699999793</v>
      </c>
      <c r="K89" s="91"/>
    </row>
    <row r="90" spans="1:11" ht="13.5" thickBot="1" x14ac:dyDescent="0.25">
      <c r="B90">
        <v>21</v>
      </c>
      <c r="D90" s="86" t="s">
        <v>112</v>
      </c>
      <c r="E90" s="680">
        <f>E91+E92+E94</f>
        <v>5245008.8200000012</v>
      </c>
      <c r="F90" s="120">
        <f>F91+F92+F94</f>
        <v>734301</v>
      </c>
      <c r="G90" s="120">
        <f>G91+G92+G94</f>
        <v>786752</v>
      </c>
      <c r="H90" s="120">
        <f>H91+H92+H94</f>
        <v>3304355</v>
      </c>
      <c r="I90" s="120">
        <f t="shared" ref="I90:J90" si="10">+I91+I92+I94</f>
        <v>262250.44100000011</v>
      </c>
      <c r="J90" s="120">
        <f t="shared" si="10"/>
        <v>157350.37900000138</v>
      </c>
    </row>
    <row r="91" spans="1:11" ht="13.5" thickBot="1" x14ac:dyDescent="0.25">
      <c r="C91">
        <v>212</v>
      </c>
      <c r="D91" s="128" t="s">
        <v>401</v>
      </c>
      <c r="E91" s="683">
        <v>0</v>
      </c>
      <c r="F91" s="114"/>
      <c r="G91" s="114"/>
      <c r="H91" s="114"/>
      <c r="I91" s="114"/>
    </row>
    <row r="92" spans="1:11" ht="13.5" thickBot="1" x14ac:dyDescent="0.25">
      <c r="C92">
        <v>213</v>
      </c>
      <c r="D92" s="122" t="s">
        <v>402</v>
      </c>
      <c r="E92" s="675">
        <f>Resultado!B110</f>
        <v>1652731.2200000025</v>
      </c>
      <c r="F92" s="114">
        <f>ROUND(E92*0.14,0)</f>
        <v>231382</v>
      </c>
      <c r="G92" s="114">
        <f>ROUND(E92*0.15,0)</f>
        <v>247910</v>
      </c>
      <c r="H92" s="114">
        <f>ROUND(E92*0.63,0)</f>
        <v>1041221</v>
      </c>
      <c r="I92" s="129">
        <f>+E92*0.05</f>
        <v>82636.561000000132</v>
      </c>
      <c r="J92" s="114">
        <f>+E92-F92-G92-H92-I92</f>
        <v>49581.659000002401</v>
      </c>
    </row>
    <row r="93" spans="1:11" x14ac:dyDescent="0.2">
      <c r="E93" s="111"/>
      <c r="F93" s="114"/>
      <c r="G93" s="114"/>
      <c r="H93" s="114"/>
      <c r="I93" s="114"/>
    </row>
    <row r="94" spans="1:11" ht="12.75" customHeight="1" thickBot="1" x14ac:dyDescent="0.25">
      <c r="C94">
        <v>216</v>
      </c>
      <c r="D94" s="86" t="s">
        <v>114</v>
      </c>
      <c r="E94" s="680">
        <f>E95+E96+E97</f>
        <v>3592277.5999999987</v>
      </c>
      <c r="F94" s="120">
        <f>F95+F96+F97</f>
        <v>502919</v>
      </c>
      <c r="G94" s="120">
        <f>G95+G96+G97</f>
        <v>538842</v>
      </c>
      <c r="H94" s="120">
        <f>H95+H96+H97</f>
        <v>2263134</v>
      </c>
      <c r="I94" s="120">
        <f t="shared" ref="I94:J94" si="11">+I95+I96+I97</f>
        <v>179613.87999999995</v>
      </c>
      <c r="J94" s="120">
        <f t="shared" si="11"/>
        <v>107768.71999999898</v>
      </c>
    </row>
    <row r="95" spans="1:11" ht="12.75" customHeight="1" thickBot="1" x14ac:dyDescent="0.25">
      <c r="C95" s="124" t="s">
        <v>403</v>
      </c>
      <c r="D95" s="123" t="s">
        <v>554</v>
      </c>
      <c r="E95" s="684">
        <f>Resultado!B175</f>
        <v>3462990.629999999</v>
      </c>
      <c r="F95" s="114">
        <f>ROUND(E95*0.14,0)</f>
        <v>484819</v>
      </c>
      <c r="G95" s="114">
        <f>ROUND(E95*0.15,0)</f>
        <v>519449</v>
      </c>
      <c r="H95" s="120">
        <f>ROUND(E95*0.63,0)</f>
        <v>2181684</v>
      </c>
      <c r="I95" s="114">
        <f>+E95*0.05</f>
        <v>173149.53149999995</v>
      </c>
      <c r="J95" s="114">
        <f t="shared" ref="J95:J103" si="12">+E95-F95-G95-H95-I95</f>
        <v>103889.098499999</v>
      </c>
    </row>
    <row r="96" spans="1:11" ht="12.75" customHeight="1" thickBot="1" x14ac:dyDescent="0.25">
      <c r="C96" s="130">
        <v>217</v>
      </c>
      <c r="D96" s="123" t="s">
        <v>70</v>
      </c>
      <c r="E96" s="684">
        <f>Resultado!B176</f>
        <v>84171.969999999972</v>
      </c>
      <c r="F96" s="114">
        <f>ROUND(E96*0.14,0)</f>
        <v>11784</v>
      </c>
      <c r="G96" s="114">
        <f>ROUND(E96*0.15,0)</f>
        <v>12626</v>
      </c>
      <c r="H96" s="114">
        <f>ROUND(E96*0.63,0)</f>
        <v>53028</v>
      </c>
      <c r="I96" s="114">
        <f>+E96*0.05</f>
        <v>4208.5984999999991</v>
      </c>
      <c r="J96" s="114">
        <f t="shared" si="12"/>
        <v>2525.3714999999729</v>
      </c>
    </row>
    <row r="97" spans="2:14" ht="13.5" thickBot="1" x14ac:dyDescent="0.25">
      <c r="C97" s="130">
        <v>218</v>
      </c>
      <c r="D97" s="123" t="s">
        <v>404</v>
      </c>
      <c r="E97" s="684">
        <f>Resultado!B177</f>
        <v>45115</v>
      </c>
      <c r="F97" s="114">
        <f>ROUND(E97*0.14,0)</f>
        <v>6316</v>
      </c>
      <c r="G97" s="114">
        <f>ROUND(E97*0.15,0)</f>
        <v>6767</v>
      </c>
      <c r="H97" s="114">
        <f>ROUND(E97*0.63,0)</f>
        <v>28422</v>
      </c>
      <c r="I97" s="114">
        <f>+E97*0.05</f>
        <v>2255.75</v>
      </c>
      <c r="J97" s="114">
        <f t="shared" si="12"/>
        <v>1354.25</v>
      </c>
    </row>
    <row r="98" spans="2:14" x14ac:dyDescent="0.2">
      <c r="D98" s="124"/>
      <c r="E98" s="679"/>
      <c r="F98" s="114"/>
      <c r="G98" s="114"/>
      <c r="H98" s="114"/>
      <c r="I98" s="114"/>
      <c r="J98" s="114">
        <f t="shared" si="12"/>
        <v>0</v>
      </c>
    </row>
    <row r="99" spans="2:14" x14ac:dyDescent="0.2">
      <c r="B99">
        <v>22</v>
      </c>
      <c r="D99" s="86" t="s">
        <v>405</v>
      </c>
      <c r="E99" s="111">
        <f>E100</f>
        <v>2642776.5300000003</v>
      </c>
      <c r="F99" s="114">
        <f>F100</f>
        <v>369988</v>
      </c>
      <c r="G99" s="114">
        <f>G100</f>
        <v>396417</v>
      </c>
      <c r="H99" s="114">
        <f>H100</f>
        <v>1664949</v>
      </c>
      <c r="I99" s="114">
        <f>+I100</f>
        <v>132138.82650000002</v>
      </c>
      <c r="J99" s="114">
        <f t="shared" si="12"/>
        <v>79283.703500000236</v>
      </c>
    </row>
    <row r="100" spans="2:14" x14ac:dyDescent="0.2">
      <c r="C100">
        <v>221</v>
      </c>
      <c r="D100" t="s">
        <v>73</v>
      </c>
      <c r="E100" s="111">
        <f>E102+E103</f>
        <v>2642776.5300000003</v>
      </c>
      <c r="F100" s="114">
        <f>F102+F103</f>
        <v>369988</v>
      </c>
      <c r="G100" s="114">
        <f>G102+G103</f>
        <v>396417</v>
      </c>
      <c r="H100" s="114">
        <f>H102+H103</f>
        <v>1664949</v>
      </c>
      <c r="I100" s="114">
        <f>+I102+I103</f>
        <v>132138.82650000002</v>
      </c>
      <c r="J100" s="114">
        <f t="shared" si="12"/>
        <v>79283.703500000236</v>
      </c>
    </row>
    <row r="101" spans="2:14" ht="13.5" thickBot="1" x14ac:dyDescent="0.25">
      <c r="D101" t="s">
        <v>359</v>
      </c>
      <c r="E101" s="111"/>
      <c r="F101" s="114"/>
      <c r="G101" s="114"/>
      <c r="H101" s="114"/>
      <c r="I101" s="114"/>
      <c r="J101" s="114">
        <f t="shared" si="12"/>
        <v>0</v>
      </c>
    </row>
    <row r="102" spans="2:14" ht="13.5" thickBot="1" x14ac:dyDescent="0.25">
      <c r="D102" s="121" t="s">
        <v>406</v>
      </c>
      <c r="E102" s="675">
        <f>Resultado!B144</f>
        <v>1515217.3499999996</v>
      </c>
      <c r="F102" s="114">
        <f>ROUND(E102*0.14,0)</f>
        <v>212130</v>
      </c>
      <c r="G102" s="114">
        <f>ROUND(E102*0.15,0)</f>
        <v>227283</v>
      </c>
      <c r="H102" s="114">
        <f>ROUND(E102*0.63,0)</f>
        <v>954587</v>
      </c>
      <c r="I102" s="114">
        <f>+E102*0.05</f>
        <v>75760.867499999978</v>
      </c>
      <c r="J102" s="114">
        <f t="shared" si="12"/>
        <v>45456.482499999649</v>
      </c>
    </row>
    <row r="103" spans="2:14" ht="13.5" thickBot="1" x14ac:dyDescent="0.25">
      <c r="D103" s="122" t="s">
        <v>296</v>
      </c>
      <c r="E103" s="675">
        <f>Resultado!B142</f>
        <v>1127559.1800000006</v>
      </c>
      <c r="F103" s="114">
        <f>ROUND(E103*0.14,0)</f>
        <v>157858</v>
      </c>
      <c r="G103" s="114">
        <f>ROUND(E103*0.15,0)</f>
        <v>169134</v>
      </c>
      <c r="H103" s="114">
        <f>ROUND(E103*0.63,0)</f>
        <v>710362</v>
      </c>
      <c r="I103" s="114">
        <f>+E103*0.05</f>
        <v>56377.959000000032</v>
      </c>
      <c r="J103" s="114">
        <f t="shared" si="12"/>
        <v>33827.221000000602</v>
      </c>
    </row>
    <row r="104" spans="2:14" x14ac:dyDescent="0.2">
      <c r="E104" s="111"/>
      <c r="F104" s="114"/>
      <c r="G104" s="114"/>
      <c r="H104" s="114"/>
      <c r="I104" s="114"/>
    </row>
    <row r="105" spans="2:14" ht="13.5" thickBot="1" x14ac:dyDescent="0.25">
      <c r="B105">
        <v>23</v>
      </c>
      <c r="D105" s="86" t="s">
        <v>74</v>
      </c>
      <c r="E105" s="111">
        <f>E106+E107</f>
        <v>1584940.790000001</v>
      </c>
      <c r="F105" s="114">
        <f>F106+F107</f>
        <v>221892</v>
      </c>
      <c r="G105" s="114">
        <f>G106+G107</f>
        <v>237741</v>
      </c>
      <c r="H105" s="114">
        <f>H106+H107</f>
        <v>998513</v>
      </c>
      <c r="I105" s="114">
        <f t="shared" ref="I105:J105" si="13">+I106+I107</f>
        <v>79247.039500000043</v>
      </c>
      <c r="J105" s="114">
        <f t="shared" si="13"/>
        <v>47547.750500000919</v>
      </c>
    </row>
    <row r="106" spans="2:14" ht="13.5" thickBot="1" x14ac:dyDescent="0.25">
      <c r="C106">
        <v>231</v>
      </c>
      <c r="D106" s="122" t="s">
        <v>407</v>
      </c>
      <c r="E106" s="675">
        <f>Resultado!B64</f>
        <v>1094940.790000001</v>
      </c>
      <c r="F106" s="114">
        <f>ROUND(E106*0.14,0)</f>
        <v>153292</v>
      </c>
      <c r="G106" s="114">
        <f>ROUND(E106*0.15,0)</f>
        <v>164241</v>
      </c>
      <c r="H106" s="114">
        <f>ROUND(E106*0.63,0)</f>
        <v>689813</v>
      </c>
      <c r="I106" s="114">
        <f>+E106*0.05</f>
        <v>54747.03950000005</v>
      </c>
      <c r="J106" s="114">
        <f>+E106-F106-G106-H106-I106</f>
        <v>32847.750500000919</v>
      </c>
    </row>
    <row r="107" spans="2:14" ht="13.5" thickBot="1" x14ac:dyDescent="0.25">
      <c r="D107" s="122" t="s">
        <v>408</v>
      </c>
      <c r="E107" s="675">
        <f>Resultado!B63</f>
        <v>490000</v>
      </c>
      <c r="F107" s="114">
        <f>ROUND(E107*0.14,0)</f>
        <v>68600</v>
      </c>
      <c r="G107" s="114">
        <f>ROUND(E107*0.15,0)</f>
        <v>73500</v>
      </c>
      <c r="H107" s="114">
        <f>ROUND(E107*0.63,0)</f>
        <v>308700</v>
      </c>
      <c r="I107" s="114">
        <f>+E107*0.05</f>
        <v>24500</v>
      </c>
      <c r="J107" s="114">
        <f>+E107-F107-G107-H107-I107</f>
        <v>14700</v>
      </c>
    </row>
    <row r="108" spans="2:14" x14ac:dyDescent="0.2">
      <c r="E108" s="685"/>
      <c r="F108" s="114"/>
      <c r="G108" s="114"/>
      <c r="H108" s="114"/>
      <c r="I108" s="114"/>
    </row>
    <row r="109" spans="2:14" ht="13.5" thickBot="1" x14ac:dyDescent="0.25">
      <c r="B109">
        <v>24</v>
      </c>
      <c r="D109" t="s">
        <v>409</v>
      </c>
      <c r="E109" s="111">
        <f>E110</f>
        <v>384682.10999999987</v>
      </c>
      <c r="F109" s="114">
        <f>F110</f>
        <v>53855</v>
      </c>
      <c r="G109" s="114">
        <f>G110</f>
        <v>57702</v>
      </c>
      <c r="H109" s="114">
        <f>H110</f>
        <v>242350</v>
      </c>
      <c r="I109" s="114">
        <f t="shared" ref="I109:J109" si="14">+I110</f>
        <v>19234.105499999994</v>
      </c>
      <c r="J109" s="114">
        <f t="shared" si="14"/>
        <v>11541.004499999875</v>
      </c>
    </row>
    <row r="110" spans="2:14" ht="13.5" thickBot="1" x14ac:dyDescent="0.25">
      <c r="C110">
        <v>241</v>
      </c>
      <c r="D110" s="128" t="s">
        <v>410</v>
      </c>
      <c r="E110" s="675">
        <f>Resultado!B99</f>
        <v>384682.10999999987</v>
      </c>
      <c r="F110" s="114">
        <f>ROUND(E110*0.14,0)</f>
        <v>53855</v>
      </c>
      <c r="G110" s="114">
        <f>ROUND(E110*0.15,0)</f>
        <v>57702</v>
      </c>
      <c r="H110" s="114">
        <f>ROUND(E110*0.63,0)</f>
        <v>242350</v>
      </c>
      <c r="I110" s="114">
        <f>+E110*0.05</f>
        <v>19234.105499999994</v>
      </c>
      <c r="J110" s="114">
        <f>+E110-F110-G110-H110-I110</f>
        <v>11541.004499999875</v>
      </c>
    </row>
    <row r="111" spans="2:14" x14ac:dyDescent="0.2">
      <c r="E111" s="111"/>
      <c r="F111" s="114"/>
      <c r="G111" s="114"/>
      <c r="H111" s="114"/>
      <c r="I111" s="114"/>
      <c r="N111" s="464">
        <v>627708.79</v>
      </c>
    </row>
    <row r="112" spans="2:14" x14ac:dyDescent="0.2">
      <c r="B112">
        <v>25</v>
      </c>
      <c r="D112" t="s">
        <v>117</v>
      </c>
      <c r="E112" s="188">
        <f>E113+E119</f>
        <v>1320728.6000000006</v>
      </c>
      <c r="F112" s="120">
        <f>F113+F119</f>
        <v>59106</v>
      </c>
      <c r="G112" s="120">
        <f>G113+G119</f>
        <v>63328</v>
      </c>
      <c r="H112" s="120">
        <f>H113+H119</f>
        <v>1164520.6000000006</v>
      </c>
      <c r="I112" s="120">
        <f t="shared" ref="I112" si="15">+I113+I119</f>
        <v>21109.25</v>
      </c>
      <c r="J112" s="120">
        <f>+J113+J119</f>
        <v>12664.75</v>
      </c>
      <c r="N112" s="464">
        <v>-36000</v>
      </c>
    </row>
    <row r="113" spans="2:10" x14ac:dyDescent="0.2">
      <c r="C113">
        <v>251</v>
      </c>
      <c r="D113" t="s">
        <v>411</v>
      </c>
      <c r="E113" s="111">
        <f>E115+E116+E117</f>
        <v>898543.60000000056</v>
      </c>
      <c r="F113" s="120">
        <f>F115+F116+F117</f>
        <v>0</v>
      </c>
      <c r="G113" s="120">
        <f>G115+G116+G117</f>
        <v>0</v>
      </c>
      <c r="H113" s="120">
        <f>H115+H116+H117</f>
        <v>898543.60000000056</v>
      </c>
      <c r="I113" s="120">
        <f>+I115+I116+I117</f>
        <v>0</v>
      </c>
      <c r="J113" s="120">
        <f>+J115+J116+J117</f>
        <v>0</v>
      </c>
    </row>
    <row r="114" spans="2:10" ht="13.5" thickBot="1" x14ac:dyDescent="0.25">
      <c r="D114" t="s">
        <v>359</v>
      </c>
      <c r="E114" s="111"/>
      <c r="F114" s="120"/>
      <c r="G114" s="120"/>
      <c r="H114" s="120"/>
      <c r="I114" s="120"/>
      <c r="J114" s="86"/>
    </row>
    <row r="115" spans="2:10" ht="13.5" thickBot="1" x14ac:dyDescent="0.25">
      <c r="D115" s="128" t="s">
        <v>412</v>
      </c>
      <c r="E115" s="675">
        <f>Resultado!B82</f>
        <v>280222</v>
      </c>
      <c r="F115" s="120"/>
      <c r="G115" s="120"/>
      <c r="H115" s="120">
        <f>E115</f>
        <v>280222</v>
      </c>
      <c r="I115" s="120"/>
      <c r="J115" s="86"/>
    </row>
    <row r="116" spans="2:10" ht="13.5" thickBot="1" x14ac:dyDescent="0.25">
      <c r="D116" s="128" t="s">
        <v>413</v>
      </c>
      <c r="E116" s="676">
        <f>Resultado!B126</f>
        <v>618321.60000000056</v>
      </c>
      <c r="F116" s="120">
        <v>0</v>
      </c>
      <c r="G116" s="120">
        <v>0</v>
      </c>
      <c r="H116" s="120">
        <f>E116</f>
        <v>618321.60000000056</v>
      </c>
      <c r="I116" s="120">
        <v>0</v>
      </c>
      <c r="J116" s="187"/>
    </row>
    <row r="117" spans="2:10" x14ac:dyDescent="0.2">
      <c r="D117" s="130" t="s">
        <v>414</v>
      </c>
      <c r="E117" s="677">
        <v>0</v>
      </c>
      <c r="F117" s="120"/>
      <c r="G117" s="120"/>
      <c r="H117" s="120">
        <f>E117</f>
        <v>0</v>
      </c>
      <c r="I117" s="120"/>
      <c r="J117" s="86"/>
    </row>
    <row r="118" spans="2:10" x14ac:dyDescent="0.2">
      <c r="D118" s="130"/>
      <c r="E118" s="680"/>
      <c r="F118" s="120"/>
      <c r="G118" s="120"/>
      <c r="H118" s="120"/>
      <c r="I118" s="120"/>
      <c r="J118" s="86"/>
    </row>
    <row r="119" spans="2:10" x14ac:dyDescent="0.2">
      <c r="C119">
        <v>254</v>
      </c>
      <c r="D119" t="s">
        <v>415</v>
      </c>
      <c r="E119" s="111">
        <f>E121+E122</f>
        <v>422185</v>
      </c>
      <c r="F119" s="120">
        <f>ROUND(E119*0.14,0)</f>
        <v>59106</v>
      </c>
      <c r="G119" s="120">
        <f>ROUND(E119*0.15,0)</f>
        <v>63328</v>
      </c>
      <c r="H119" s="120">
        <f>ROUND(E119*0.63,0)</f>
        <v>265977</v>
      </c>
      <c r="I119" s="120">
        <f>+E119*0.05</f>
        <v>21109.25</v>
      </c>
      <c r="J119" s="120">
        <f>+E119-F119-G119-H119-I119</f>
        <v>12664.75</v>
      </c>
    </row>
    <row r="120" spans="2:10" ht="13.5" thickBot="1" x14ac:dyDescent="0.25">
      <c r="D120" t="s">
        <v>359</v>
      </c>
      <c r="E120" s="111"/>
      <c r="F120" s="120"/>
      <c r="G120" s="120"/>
      <c r="H120" s="120"/>
      <c r="I120" s="120"/>
      <c r="J120" s="86"/>
    </row>
    <row r="121" spans="2:10" ht="13.5" thickBot="1" x14ac:dyDescent="0.25">
      <c r="D121" s="121" t="s">
        <v>416</v>
      </c>
      <c r="E121" s="686">
        <f>Resultado!B108</f>
        <v>42185</v>
      </c>
      <c r="F121" s="114">
        <f>ROUND(E121*0.14,0)</f>
        <v>5906</v>
      </c>
      <c r="G121" s="114">
        <f>ROUND(E121*0.15,0)</f>
        <v>6328</v>
      </c>
      <c r="H121" s="114">
        <f>ROUND(E121*0.63,0)</f>
        <v>26577</v>
      </c>
      <c r="I121" s="114">
        <f>+E121*0.05</f>
        <v>2109.25</v>
      </c>
      <c r="J121" s="114">
        <f>+E121-F121-G121-H121-I121</f>
        <v>1264.75</v>
      </c>
    </row>
    <row r="122" spans="2:10" ht="13.5" thickBot="1" x14ac:dyDescent="0.25">
      <c r="D122" s="121" t="s">
        <v>261</v>
      </c>
      <c r="E122" s="686">
        <f>Resultado!B86</f>
        <v>380000</v>
      </c>
      <c r="F122" s="125"/>
      <c r="G122" s="114"/>
      <c r="H122" s="114"/>
      <c r="I122" s="114"/>
    </row>
    <row r="123" spans="2:10" x14ac:dyDescent="0.2">
      <c r="E123" s="111"/>
      <c r="F123" s="114"/>
      <c r="G123" s="114"/>
      <c r="H123" s="114"/>
      <c r="I123" s="114"/>
    </row>
    <row r="124" spans="2:10" ht="13.5" thickBot="1" x14ac:dyDescent="0.25">
      <c r="B124">
        <v>26</v>
      </c>
      <c r="D124" t="s">
        <v>79</v>
      </c>
      <c r="E124" s="111">
        <f>E125+E127+E133+E136</f>
        <v>10723502.999999994</v>
      </c>
      <c r="F124" s="114">
        <f>F125+F127+F133</f>
        <v>1501290</v>
      </c>
      <c r="G124" s="114">
        <f>G125+G127+G133</f>
        <v>1608525</v>
      </c>
      <c r="H124" s="114">
        <f>H125+H127+H133</f>
        <v>6755807</v>
      </c>
      <c r="I124" s="114">
        <f>+I125+I127+I133</f>
        <v>536175.00600000005</v>
      </c>
      <c r="J124" s="114">
        <f>+J125+J127+J133</f>
        <v>321705.99399999512</v>
      </c>
    </row>
    <row r="125" spans="2:10" ht="13.5" thickBot="1" x14ac:dyDescent="0.25">
      <c r="C125">
        <v>261</v>
      </c>
      <c r="D125" s="122" t="s">
        <v>417</v>
      </c>
      <c r="E125" s="687">
        <v>0</v>
      </c>
      <c r="F125" s="114">
        <f>ROUND(E125*0.14,0)</f>
        <v>0</v>
      </c>
      <c r="G125" s="114">
        <f>ROUND(E125*0.15,0)</f>
        <v>0</v>
      </c>
      <c r="H125" s="114">
        <f>ROUND(E125*0.63,0)</f>
        <v>0</v>
      </c>
      <c r="I125" s="114">
        <f>+E125-F125-G125-H125</f>
        <v>0</v>
      </c>
    </row>
    <row r="126" spans="2:10" x14ac:dyDescent="0.2">
      <c r="E126" s="111"/>
      <c r="F126" s="114"/>
      <c r="G126" s="114"/>
      <c r="H126" s="114"/>
      <c r="I126" s="114"/>
    </row>
    <row r="127" spans="2:10" x14ac:dyDescent="0.2">
      <c r="C127">
        <v>262</v>
      </c>
      <c r="D127" t="s">
        <v>151</v>
      </c>
      <c r="E127" s="111">
        <f>E129+E130</f>
        <v>661760.11999999988</v>
      </c>
      <c r="F127" s="114">
        <f>F129+F130+F131</f>
        <v>92646</v>
      </c>
      <c r="G127" s="114">
        <f>G129+G130+G131</f>
        <v>99264</v>
      </c>
      <c r="H127" s="114">
        <f>H129+H130+H131</f>
        <v>416909</v>
      </c>
      <c r="I127" s="114">
        <f>+I129+I130+I131</f>
        <v>33088.005999999994</v>
      </c>
      <c r="J127" s="114">
        <f>+J129+J130+J131</f>
        <v>19853.113999999885</v>
      </c>
    </row>
    <row r="128" spans="2:10" x14ac:dyDescent="0.2">
      <c r="D128" t="s">
        <v>359</v>
      </c>
      <c r="E128" s="111"/>
      <c r="F128" s="114"/>
      <c r="G128" s="114"/>
      <c r="H128" s="114"/>
      <c r="I128" s="114"/>
    </row>
    <row r="129" spans="2:10" ht="13.5" thickBot="1" x14ac:dyDescent="0.25">
      <c r="D129" s="122" t="s">
        <v>418</v>
      </c>
      <c r="E129" s="688">
        <f>Resultado!B100</f>
        <v>281560.52</v>
      </c>
      <c r="F129" s="114">
        <f>ROUND(E129*0.14,0)</f>
        <v>39418</v>
      </c>
      <c r="G129" s="114">
        <f>ROUND(E129*0.15,0)</f>
        <v>42234</v>
      </c>
      <c r="H129" s="114">
        <f>ROUND(E129*0.63,0)</f>
        <v>177383</v>
      </c>
      <c r="I129" s="114">
        <f>+E129*0.05</f>
        <v>14078.026000000002</v>
      </c>
      <c r="J129" s="114">
        <f>+E129-F129-G129-H129-I129</f>
        <v>8447.494000000017</v>
      </c>
    </row>
    <row r="130" spans="2:10" ht="13.5" thickBot="1" x14ac:dyDescent="0.25">
      <c r="D130" s="122" t="s">
        <v>419</v>
      </c>
      <c r="E130" s="675">
        <f>Resultado!B117</f>
        <v>380199.59999999986</v>
      </c>
      <c r="F130" s="114">
        <f>ROUND(E130*0.14,0)</f>
        <v>53228</v>
      </c>
      <c r="G130" s="114">
        <f>ROUND(E130*0.15,0)</f>
        <v>57030</v>
      </c>
      <c r="H130" s="114">
        <f>ROUND(E130*0.63,0)</f>
        <v>239526</v>
      </c>
      <c r="I130" s="114">
        <f>+E130*0.05</f>
        <v>19009.979999999992</v>
      </c>
      <c r="J130" s="114">
        <f>+E130-F130-G130-H130-I130</f>
        <v>11405.619999999868</v>
      </c>
    </row>
    <row r="131" spans="2:10" x14ac:dyDescent="0.2">
      <c r="D131" s="122"/>
      <c r="E131" s="689">
        <v>0</v>
      </c>
      <c r="F131" s="114">
        <f>E131</f>
        <v>0</v>
      </c>
      <c r="G131" s="114"/>
      <c r="H131" s="114"/>
      <c r="I131" s="114"/>
    </row>
    <row r="132" spans="2:10" x14ac:dyDescent="0.2">
      <c r="E132" s="111"/>
      <c r="F132" s="114"/>
      <c r="G132" s="114"/>
      <c r="H132" s="114"/>
      <c r="I132" s="114"/>
    </row>
    <row r="133" spans="2:10" ht="13.5" thickBot="1" x14ac:dyDescent="0.25">
      <c r="C133">
        <v>263</v>
      </c>
      <c r="D133" t="s">
        <v>420</v>
      </c>
      <c r="E133" s="111">
        <f>E134</f>
        <v>10061742.879999995</v>
      </c>
      <c r="F133" s="114">
        <f>F134</f>
        <v>1408644</v>
      </c>
      <c r="G133" s="114">
        <f>G134</f>
        <v>1509261</v>
      </c>
      <c r="H133" s="114">
        <f>H134</f>
        <v>6338898</v>
      </c>
      <c r="I133" s="114">
        <f t="shared" ref="I133:J133" si="16">+I134</f>
        <v>503087</v>
      </c>
      <c r="J133" s="114">
        <f t="shared" si="16"/>
        <v>301852.87999999523</v>
      </c>
    </row>
    <row r="134" spans="2:10" ht="13.5" thickBot="1" x14ac:dyDescent="0.25">
      <c r="D134" s="128" t="s">
        <v>421</v>
      </c>
      <c r="E134" s="690">
        <f>Resultado!B79</f>
        <v>10061742.879999995</v>
      </c>
      <c r="F134" s="114">
        <f>ROUND(E134*0.14,0)</f>
        <v>1408644</v>
      </c>
      <c r="G134" s="114">
        <f>ROUND(E134*0.15,0)</f>
        <v>1509261</v>
      </c>
      <c r="H134" s="114">
        <f>ROUND(E134*0.63,0)</f>
        <v>6338898</v>
      </c>
      <c r="I134" s="114">
        <f>ROUND(E134*0.05,0)</f>
        <v>503087</v>
      </c>
      <c r="J134" s="114">
        <f>+E134-F134-G134-H134-I134</f>
        <v>301852.87999999523</v>
      </c>
    </row>
    <row r="135" spans="2:10" x14ac:dyDescent="0.2">
      <c r="E135" s="111"/>
      <c r="F135" s="114"/>
      <c r="G135" s="114"/>
      <c r="H135" s="114"/>
      <c r="I135" s="114"/>
    </row>
    <row r="136" spans="2:10" x14ac:dyDescent="0.2">
      <c r="C136">
        <v>269</v>
      </c>
      <c r="D136" s="128" t="s">
        <v>422</v>
      </c>
      <c r="E136" s="691">
        <v>0</v>
      </c>
      <c r="F136" s="114"/>
      <c r="G136" s="114"/>
      <c r="H136" s="114"/>
      <c r="I136" s="114"/>
    </row>
    <row r="137" spans="2:10" x14ac:dyDescent="0.2">
      <c r="E137" s="111"/>
      <c r="F137" s="114"/>
      <c r="G137" s="114"/>
      <c r="H137" s="114"/>
      <c r="I137" s="114"/>
    </row>
    <row r="138" spans="2:10" x14ac:dyDescent="0.2">
      <c r="B138">
        <v>27</v>
      </c>
      <c r="D138" s="86" t="s">
        <v>423</v>
      </c>
      <c r="E138" s="111">
        <f>E140+E144</f>
        <v>710182.99999999965</v>
      </c>
      <c r="F138" s="114">
        <f>F140+F144</f>
        <v>99425</v>
      </c>
      <c r="G138" s="114">
        <f>G140+G144</f>
        <v>106527</v>
      </c>
      <c r="H138" s="114">
        <f>H140+H144</f>
        <v>447416</v>
      </c>
      <c r="I138" s="114">
        <f t="shared" ref="I138:J138" si="17">+I140+I144</f>
        <v>35509</v>
      </c>
      <c r="J138" s="114">
        <f t="shared" si="17"/>
        <v>21305.999999999651</v>
      </c>
    </row>
    <row r="139" spans="2:10" x14ac:dyDescent="0.2">
      <c r="D139" s="86" t="s">
        <v>424</v>
      </c>
      <c r="E139" s="111"/>
      <c r="F139" s="114"/>
      <c r="G139" s="114"/>
      <c r="H139" s="114"/>
      <c r="I139" s="114"/>
    </row>
    <row r="140" spans="2:10" x14ac:dyDescent="0.2">
      <c r="C140">
        <v>271</v>
      </c>
      <c r="D140" t="s">
        <v>81</v>
      </c>
      <c r="E140" s="111">
        <f>E142</f>
        <v>-184982.83000000007</v>
      </c>
      <c r="F140" s="114">
        <f>F142</f>
        <v>-25898</v>
      </c>
      <c r="G140" s="114">
        <f>G142</f>
        <v>-27747</v>
      </c>
      <c r="H140" s="114">
        <f>H142</f>
        <v>-116539</v>
      </c>
      <c r="I140" s="114">
        <f t="shared" ref="I140:J140" si="18">+I142</f>
        <v>-9249</v>
      </c>
      <c r="J140" s="114">
        <f t="shared" si="18"/>
        <v>-5549.8300000000745</v>
      </c>
    </row>
    <row r="141" spans="2:10" ht="13.5" thickBot="1" x14ac:dyDescent="0.25">
      <c r="D141" t="s">
        <v>425</v>
      </c>
      <c r="E141" s="111"/>
      <c r="F141" s="114"/>
      <c r="G141" s="114"/>
      <c r="H141" s="114"/>
      <c r="I141" s="114"/>
    </row>
    <row r="142" spans="2:10" s="131" customFormat="1" ht="13.5" thickBot="1" x14ac:dyDescent="0.25">
      <c r="C142" s="132" t="s">
        <v>426</v>
      </c>
      <c r="D142" s="133" t="s">
        <v>427</v>
      </c>
      <c r="E142" s="692">
        <f>Resultado!B121</f>
        <v>-184982.83000000007</v>
      </c>
      <c r="F142" s="134">
        <f>ROUND(E142*0.14,0)</f>
        <v>-25898</v>
      </c>
      <c r="G142" s="134">
        <f>ROUND(E142*0.15,0)</f>
        <v>-27747</v>
      </c>
      <c r="H142" s="134">
        <f>ROUND(E142*0.63,0)</f>
        <v>-116539</v>
      </c>
      <c r="I142" s="134">
        <f>ROUND(E142*0.05,0)</f>
        <v>-9249</v>
      </c>
      <c r="J142" s="134">
        <f>+E142-F142-G142-H142-I142</f>
        <v>-5549.8300000000745</v>
      </c>
    </row>
    <row r="143" spans="2:10" x14ac:dyDescent="0.2">
      <c r="D143" t="s">
        <v>428</v>
      </c>
      <c r="E143" s="111"/>
      <c r="F143" s="114"/>
      <c r="G143" s="114"/>
      <c r="H143" s="114"/>
      <c r="I143" s="114"/>
    </row>
    <row r="144" spans="2:10" x14ac:dyDescent="0.2">
      <c r="C144">
        <v>272</v>
      </c>
      <c r="D144" t="s">
        <v>429</v>
      </c>
      <c r="E144" s="111">
        <f>E148+E149+E150+E146+E147</f>
        <v>895165.82999999973</v>
      </c>
      <c r="F144" s="114">
        <f>F148+F149+F150+F151+F152+F146+F147</f>
        <v>125323</v>
      </c>
      <c r="G144" s="114">
        <f>G148+G149+G150+G151+G152+G146+G147</f>
        <v>134274</v>
      </c>
      <c r="H144" s="114">
        <f>H148+H149+H150+H151+H152+H146+H147</f>
        <v>563955</v>
      </c>
      <c r="I144" s="114">
        <f>+I148+I149+I150+I151+I152+I146+I147</f>
        <v>44758</v>
      </c>
      <c r="J144" s="114">
        <f>+J148+J149+J150+J151+J152+J146+J147</f>
        <v>26855.829999999725</v>
      </c>
    </row>
    <row r="145" spans="2:12" ht="13.5" thickBot="1" x14ac:dyDescent="0.25">
      <c r="D145" t="s">
        <v>359</v>
      </c>
      <c r="E145" s="111"/>
      <c r="F145" s="114"/>
      <c r="G145" s="114"/>
      <c r="H145" s="114"/>
      <c r="I145" s="114"/>
    </row>
    <row r="146" spans="2:12" ht="13.5" thickBot="1" x14ac:dyDescent="0.25">
      <c r="C146" t="s">
        <v>430</v>
      </c>
      <c r="D146" s="122" t="s">
        <v>431</v>
      </c>
      <c r="E146" s="693">
        <f>Resultado!B118</f>
        <v>190199.39999999991</v>
      </c>
      <c r="F146" s="114">
        <f>ROUND(E146*0.14,0)</f>
        <v>26628</v>
      </c>
      <c r="G146" s="114">
        <f>ROUND(E146*0.15,0)</f>
        <v>28530</v>
      </c>
      <c r="H146" s="114">
        <f>ROUND(E146*0.63,0)</f>
        <v>119826</v>
      </c>
      <c r="I146" s="114">
        <f>ROUND(E146*0.05,0)</f>
        <v>9510</v>
      </c>
      <c r="J146" s="114">
        <f>+E146-F146-G146-H146-I146</f>
        <v>5705.3999999999069</v>
      </c>
    </row>
    <row r="147" spans="2:12" ht="13.5" thickBot="1" x14ac:dyDescent="0.25">
      <c r="C147" t="s">
        <v>430</v>
      </c>
      <c r="D147" s="716" t="s">
        <v>432</v>
      </c>
      <c r="E147" s="693">
        <f>Resultado!B119</f>
        <v>270813.93999999994</v>
      </c>
      <c r="F147" s="114">
        <f>ROUND(E147*0.14,0)</f>
        <v>37914</v>
      </c>
      <c r="G147" s="114">
        <f t="shared" ref="G147:G153" si="19">ROUND(E147*0.15,0)</f>
        <v>40622</v>
      </c>
      <c r="H147" s="114">
        <f t="shared" ref="H147:H153" si="20">ROUND(E147*0.63,0)</f>
        <v>170613</v>
      </c>
      <c r="I147" s="114">
        <f t="shared" ref="I147:I150" si="21">ROUND(E147*0.05,0)</f>
        <v>13541</v>
      </c>
      <c r="J147" s="114">
        <f>+E147-F147-G147-H147-I147</f>
        <v>8123.9399999999441</v>
      </c>
    </row>
    <row r="148" spans="2:12" ht="13.5" thickBot="1" x14ac:dyDescent="0.25">
      <c r="C148" t="s">
        <v>433</v>
      </c>
      <c r="D148" s="122" t="s">
        <v>273</v>
      </c>
      <c r="E148" s="693">
        <f>Resultado!B103</f>
        <v>351549.15999999992</v>
      </c>
      <c r="F148" s="114">
        <f t="shared" ref="F148:F153" si="22">ROUND(E148*0.14,0)</f>
        <v>49217</v>
      </c>
      <c r="G148" s="114">
        <f t="shared" si="19"/>
        <v>52732</v>
      </c>
      <c r="H148" s="114">
        <f t="shared" si="20"/>
        <v>221476</v>
      </c>
      <c r="I148" s="114">
        <f t="shared" si="21"/>
        <v>17577</v>
      </c>
      <c r="J148" s="114">
        <f>+E148-F148-G148-H148-I148</f>
        <v>10547.159999999916</v>
      </c>
    </row>
    <row r="149" spans="2:12" ht="13.5" thickBot="1" x14ac:dyDescent="0.25">
      <c r="C149" t="s">
        <v>433</v>
      </c>
      <c r="D149" s="122" t="s">
        <v>434</v>
      </c>
      <c r="E149" s="693">
        <f>Resultado!B104</f>
        <v>70109.199999999953</v>
      </c>
      <c r="F149" s="114">
        <f t="shared" si="22"/>
        <v>9815</v>
      </c>
      <c r="G149" s="114">
        <f t="shared" si="19"/>
        <v>10516</v>
      </c>
      <c r="H149" s="114">
        <f t="shared" si="20"/>
        <v>44169</v>
      </c>
      <c r="I149" s="114">
        <f t="shared" si="21"/>
        <v>3505</v>
      </c>
      <c r="J149" s="114">
        <f>+E149-F149-G149-H149-I149</f>
        <v>2104.1999999999534</v>
      </c>
    </row>
    <row r="150" spans="2:12" ht="13.5" thickBot="1" x14ac:dyDescent="0.25">
      <c r="C150" t="s">
        <v>433</v>
      </c>
      <c r="D150" s="122" t="s">
        <v>276</v>
      </c>
      <c r="E150" s="693">
        <f>Resultado!B106</f>
        <v>12494.130000000005</v>
      </c>
      <c r="F150" s="114">
        <f t="shared" si="22"/>
        <v>1749</v>
      </c>
      <c r="G150" s="114">
        <f t="shared" si="19"/>
        <v>1874</v>
      </c>
      <c r="H150" s="114">
        <f t="shared" si="20"/>
        <v>7871</v>
      </c>
      <c r="I150" s="114">
        <f t="shared" si="21"/>
        <v>625</v>
      </c>
      <c r="J150" s="114">
        <f>+E150-F150-G150-H150-I150</f>
        <v>375.13000000000466</v>
      </c>
    </row>
    <row r="151" spans="2:12" x14ac:dyDescent="0.2">
      <c r="E151" s="685"/>
      <c r="F151" s="114">
        <f t="shared" si="22"/>
        <v>0</v>
      </c>
      <c r="G151" s="114">
        <f t="shared" si="19"/>
        <v>0</v>
      </c>
      <c r="H151" s="114">
        <f t="shared" si="20"/>
        <v>0</v>
      </c>
      <c r="I151" s="114">
        <f>+E151-F151-G151-H151</f>
        <v>0</v>
      </c>
    </row>
    <row r="152" spans="2:12" x14ac:dyDescent="0.2">
      <c r="E152" s="685"/>
      <c r="F152" s="114">
        <f t="shared" si="22"/>
        <v>0</v>
      </c>
      <c r="G152" s="114">
        <f t="shared" si="19"/>
        <v>0</v>
      </c>
      <c r="H152" s="114">
        <f t="shared" si="20"/>
        <v>0</v>
      </c>
      <c r="I152" s="114">
        <f>+E152-F152-G152-H152</f>
        <v>0</v>
      </c>
    </row>
    <row r="153" spans="2:12" x14ac:dyDescent="0.2">
      <c r="E153" s="694">
        <v>0</v>
      </c>
      <c r="F153" s="114">
        <f t="shared" si="22"/>
        <v>0</v>
      </c>
      <c r="G153" s="114">
        <f t="shared" si="19"/>
        <v>0</v>
      </c>
      <c r="H153" s="114">
        <f t="shared" si="20"/>
        <v>0</v>
      </c>
      <c r="I153" s="114">
        <f>+E153-F153-G153-H153</f>
        <v>0</v>
      </c>
    </row>
    <row r="154" spans="2:12" ht="13.5" thickBot="1" x14ac:dyDescent="0.25">
      <c r="C154">
        <v>273</v>
      </c>
      <c r="D154" s="121" t="s">
        <v>424</v>
      </c>
      <c r="E154" s="695">
        <f>E155</f>
        <v>154680.01</v>
      </c>
      <c r="F154" s="121"/>
      <c r="G154" s="121"/>
      <c r="H154" s="182"/>
      <c r="I154" s="121"/>
      <c r="J154" s="121"/>
      <c r="K154" s="137" t="s">
        <v>435</v>
      </c>
      <c r="L154" s="137"/>
    </row>
    <row r="155" spans="2:12" ht="13.5" thickBot="1" x14ac:dyDescent="0.25">
      <c r="C155" s="86"/>
      <c r="D155" s="121" t="s">
        <v>285</v>
      </c>
      <c r="E155" s="693">
        <f>Resultado!B122+Resultado!B127</f>
        <v>154680.01</v>
      </c>
      <c r="F155" s="116">
        <f>ROUND(E155*0.14,0)</f>
        <v>21655</v>
      </c>
      <c r="G155" s="116">
        <f>ROUND(E155*0.15,0)</f>
        <v>23202</v>
      </c>
      <c r="H155" s="116">
        <f>ROUND(E155*0.63,0)</f>
        <v>97448</v>
      </c>
      <c r="I155" s="116">
        <f>+E155*0.05</f>
        <v>7734.000500000001</v>
      </c>
      <c r="J155" s="116">
        <f>+E155-F155-G155-H155-I155</f>
        <v>4641.0095000000083</v>
      </c>
      <c r="K155" s="137" t="s">
        <v>436</v>
      </c>
      <c r="L155" s="137"/>
    </row>
    <row r="156" spans="2:12" x14ac:dyDescent="0.2">
      <c r="D156" s="86"/>
      <c r="F156" s="85">
        <f>F157+F175</f>
        <v>19210533.57</v>
      </c>
      <c r="G156" s="85">
        <f>G157+G175</f>
        <v>247399</v>
      </c>
      <c r="H156" s="85">
        <f>H157-H168</f>
        <v>6192953.5299999993</v>
      </c>
      <c r="I156" s="85">
        <f t="shared" ref="I156:J156" si="23">I157+I175</f>
        <v>82466.314500000037</v>
      </c>
      <c r="J156" s="85">
        <f t="shared" si="23"/>
        <v>49479.975500000699</v>
      </c>
    </row>
    <row r="157" spans="2:12" ht="13.5" thickBot="1" x14ac:dyDescent="0.25">
      <c r="B157">
        <v>28</v>
      </c>
      <c r="C157" s="205"/>
      <c r="D157" s="205" t="s">
        <v>437</v>
      </c>
      <c r="E157" s="696">
        <f>E158+E160+E161+E163+E172</f>
        <v>24219036.100000001</v>
      </c>
      <c r="F157" s="129">
        <f>F158+F160+F161+F163+F172</f>
        <v>18981872.57</v>
      </c>
      <c r="G157" s="129">
        <f>G158+G160+G161+G163+G172</f>
        <v>2405</v>
      </c>
      <c r="H157" s="129">
        <f>+H158+H160+H161+H163+H172+H175</f>
        <v>6262453.5299999993</v>
      </c>
      <c r="I157" s="129">
        <f>+I158+I160+I161+I163+I172</f>
        <v>801.5</v>
      </c>
      <c r="J157" s="129">
        <f>+J158+J160+J161+J163+J172</f>
        <v>480.5</v>
      </c>
    </row>
    <row r="158" spans="2:12" ht="13.5" thickBot="1" x14ac:dyDescent="0.25">
      <c r="C158">
        <v>281</v>
      </c>
      <c r="D158" s="122" t="s">
        <v>438</v>
      </c>
      <c r="E158" s="675">
        <f>Resultado!B141</f>
        <v>3911712.3999999985</v>
      </c>
      <c r="F158" s="114"/>
      <c r="G158" s="114"/>
      <c r="H158" s="114">
        <f>E158</f>
        <v>3911712.3999999985</v>
      </c>
      <c r="I158" s="114"/>
    </row>
    <row r="159" spans="2:12" ht="13.5" thickBot="1" x14ac:dyDescent="0.25">
      <c r="E159" s="111"/>
      <c r="F159" s="114"/>
      <c r="G159" s="114"/>
      <c r="H159" s="114"/>
      <c r="I159" s="114"/>
    </row>
    <row r="160" spans="2:12" ht="13.5" thickBot="1" x14ac:dyDescent="0.25">
      <c r="C160">
        <v>282</v>
      </c>
      <c r="D160" s="128" t="s">
        <v>439</v>
      </c>
      <c r="E160" s="675">
        <f>Resultado!B52</f>
        <v>1242165.1300000008</v>
      </c>
      <c r="F160" s="114"/>
      <c r="G160" s="114"/>
      <c r="H160" s="114">
        <f>E160</f>
        <v>1242165.1300000008</v>
      </c>
      <c r="I160" s="114"/>
    </row>
    <row r="161" spans="3:11" ht="13.5" thickBot="1" x14ac:dyDescent="0.25">
      <c r="C161">
        <v>284</v>
      </c>
      <c r="D161" s="122" t="s">
        <v>440</v>
      </c>
      <c r="E161" s="675">
        <f>Resultado!B89</f>
        <v>16030</v>
      </c>
      <c r="F161" s="114">
        <f>ROUND(E161*0.14,0)</f>
        <v>2244</v>
      </c>
      <c r="G161" s="114">
        <f>ROUND(E161*0.15,0)</f>
        <v>2405</v>
      </c>
      <c r="H161" s="114">
        <f>ROUND(E161*0.63,0)</f>
        <v>10099</v>
      </c>
      <c r="I161" s="114">
        <f>+E161*0.05</f>
        <v>801.5</v>
      </c>
      <c r="J161" s="114">
        <f>+E161-F161-G161-H161-I161</f>
        <v>480.5</v>
      </c>
    </row>
    <row r="162" spans="3:11" x14ac:dyDescent="0.2">
      <c r="E162" s="111"/>
      <c r="F162" s="114"/>
      <c r="G162" s="114"/>
      <c r="H162" s="114"/>
      <c r="I162" s="114"/>
    </row>
    <row r="163" spans="3:11" x14ac:dyDescent="0.2">
      <c r="C163">
        <v>287</v>
      </c>
      <c r="D163" s="86" t="s">
        <v>441</v>
      </c>
      <c r="E163" s="111">
        <f>E165+E166+E167+E168+E169+E170</f>
        <v>19003788.57</v>
      </c>
      <c r="F163" s="114">
        <f>F165+F166+F167+F169+F170</f>
        <v>18934288.57</v>
      </c>
      <c r="G163" s="114">
        <f>G165+G166+G167+G169+G170</f>
        <v>0</v>
      </c>
      <c r="H163" s="114">
        <f>H165+H166+H167+H168+H169+H170</f>
        <v>69500</v>
      </c>
      <c r="I163" s="114">
        <f>+I165+I166+I167+I169+I170</f>
        <v>0</v>
      </c>
    </row>
    <row r="164" spans="3:11" ht="13.5" thickBot="1" x14ac:dyDescent="0.25">
      <c r="D164" t="s">
        <v>359</v>
      </c>
      <c r="E164" s="111"/>
      <c r="F164" s="114"/>
      <c r="G164" s="114"/>
      <c r="H164" s="114"/>
      <c r="I164" s="114"/>
    </row>
    <row r="165" spans="3:11" ht="13.5" thickBot="1" x14ac:dyDescent="0.25">
      <c r="C165" s="86" t="s">
        <v>442</v>
      </c>
      <c r="D165" s="121" t="s">
        <v>443</v>
      </c>
      <c r="E165" s="697">
        <v>0</v>
      </c>
      <c r="F165" s="114">
        <f>E165</f>
        <v>0</v>
      </c>
      <c r="G165" s="114"/>
      <c r="H165" s="114"/>
      <c r="I165" s="114"/>
    </row>
    <row r="166" spans="3:11" ht="13.5" thickBot="1" x14ac:dyDescent="0.25">
      <c r="C166" s="86" t="s">
        <v>444</v>
      </c>
      <c r="D166" s="121" t="s">
        <v>445</v>
      </c>
      <c r="E166" s="686">
        <f>Resultado!B95</f>
        <v>7233400</v>
      </c>
      <c r="F166" s="114">
        <f>E166</f>
        <v>7233400</v>
      </c>
      <c r="G166" s="114"/>
      <c r="H166" s="114"/>
      <c r="I166" s="114"/>
    </row>
    <row r="167" spans="3:11" ht="13.5" thickBot="1" x14ac:dyDescent="0.25">
      <c r="C167" s="86" t="s">
        <v>446</v>
      </c>
      <c r="D167" s="121" t="s">
        <v>447</v>
      </c>
      <c r="E167" s="675">
        <f>Resultado!B93</f>
        <v>60000</v>
      </c>
      <c r="F167" s="114">
        <f>E167</f>
        <v>60000</v>
      </c>
      <c r="G167" s="114"/>
      <c r="H167" s="114"/>
      <c r="I167" s="114"/>
    </row>
    <row r="168" spans="3:11" ht="13.5" thickBot="1" x14ac:dyDescent="0.25">
      <c r="C168" s="86" t="s">
        <v>160</v>
      </c>
      <c r="D168" s="121" t="s">
        <v>448</v>
      </c>
      <c r="E168" s="686">
        <f>Resultado!B75+Resultado!B76</f>
        <v>69500</v>
      </c>
      <c r="F168" s="114"/>
      <c r="G168" s="114"/>
      <c r="H168" s="114">
        <f>E168</f>
        <v>69500</v>
      </c>
      <c r="I168" s="114"/>
    </row>
    <row r="169" spans="3:11" ht="13.5" thickBot="1" x14ac:dyDescent="0.25">
      <c r="C169" s="86" t="s">
        <v>449</v>
      </c>
      <c r="D169" s="121" t="s">
        <v>450</v>
      </c>
      <c r="E169" s="675">
        <f>Resultado!B96</f>
        <v>11640888.57</v>
      </c>
      <c r="F169" s="114">
        <f>E169</f>
        <v>11640888.57</v>
      </c>
      <c r="G169" s="114"/>
      <c r="H169" s="114"/>
      <c r="I169" s="114"/>
    </row>
    <row r="170" spans="3:11" x14ac:dyDescent="0.2">
      <c r="C170" s="86"/>
      <c r="D170" s="86"/>
      <c r="E170" s="685"/>
      <c r="F170" s="114">
        <f>E170</f>
        <v>0</v>
      </c>
      <c r="G170" s="114"/>
      <c r="H170" s="114"/>
      <c r="I170" s="114"/>
    </row>
    <row r="171" spans="3:11" x14ac:dyDescent="0.2">
      <c r="E171" s="111"/>
      <c r="F171" s="114"/>
      <c r="G171" s="114"/>
      <c r="H171" s="114"/>
      <c r="I171" s="114"/>
    </row>
    <row r="172" spans="3:11" ht="13.5" thickBot="1" x14ac:dyDescent="0.25">
      <c r="C172">
        <v>288</v>
      </c>
      <c r="D172" s="86" t="s">
        <v>451</v>
      </c>
      <c r="E172" s="111">
        <f>E173</f>
        <v>45340</v>
      </c>
      <c r="F172" s="114">
        <f>E172</f>
        <v>45340</v>
      </c>
      <c r="G172" s="114"/>
      <c r="H172" s="114"/>
      <c r="I172" s="114"/>
    </row>
    <row r="173" spans="3:11" ht="13.5" thickBot="1" x14ac:dyDescent="0.25">
      <c r="C173" s="86" t="s">
        <v>452</v>
      </c>
      <c r="D173" s="128" t="s">
        <v>189</v>
      </c>
      <c r="E173" s="675">
        <f>Resultado!B134</f>
        <v>45340</v>
      </c>
      <c r="F173" s="114"/>
      <c r="G173" s="114"/>
      <c r="H173" s="114"/>
      <c r="I173" s="114"/>
    </row>
    <row r="174" spans="3:11" x14ac:dyDescent="0.2">
      <c r="E174" s="111"/>
      <c r="F174" s="114"/>
      <c r="G174" s="114"/>
      <c r="H174" s="114"/>
      <c r="I174" s="114"/>
    </row>
    <row r="175" spans="3:11" x14ac:dyDescent="0.2">
      <c r="C175" s="86">
        <v>289</v>
      </c>
      <c r="D175" s="86" t="s">
        <v>125</v>
      </c>
      <c r="E175" s="188">
        <f>E176</f>
        <v>1633296.2900000007</v>
      </c>
      <c r="F175" s="114">
        <f>ROUND(E175*0.14,0)</f>
        <v>228661</v>
      </c>
      <c r="G175" s="114">
        <f>ROUND(E175*0.15,0)</f>
        <v>244994</v>
      </c>
      <c r="H175" s="114">
        <f>ROUND(E175*0.63,0)</f>
        <v>1028977</v>
      </c>
      <c r="I175" s="114">
        <f>+E175*0.05</f>
        <v>81664.814500000037</v>
      </c>
      <c r="J175" s="114">
        <f>+E175-F175-G175-H175-I175</f>
        <v>48999.475500000699</v>
      </c>
      <c r="K175" s="91"/>
    </row>
    <row r="176" spans="3:11" ht="13.5" thickBot="1" x14ac:dyDescent="0.25">
      <c r="C176" s="86" t="s">
        <v>453</v>
      </c>
      <c r="D176" s="86" t="s">
        <v>126</v>
      </c>
      <c r="E176" s="111">
        <f>E177+E178+E180+E181+E183+E184+E185+E182+E179</f>
        <v>1633296.2900000007</v>
      </c>
      <c r="F176" s="114">
        <f>ROUND(E176*0.14,0)</f>
        <v>228661</v>
      </c>
      <c r="G176" s="114">
        <f>ROUND(E176*0.15,0)</f>
        <v>244994</v>
      </c>
      <c r="H176" s="114">
        <f>ROUND(E176*0.63,0)</f>
        <v>1028977</v>
      </c>
      <c r="I176" s="138">
        <f>+E176*0.05</f>
        <v>81664.814500000037</v>
      </c>
      <c r="J176" s="114">
        <f>+E176-F176-G176-H176-I176</f>
        <v>48999.475500000699</v>
      </c>
      <c r="K176" s="91"/>
    </row>
    <row r="177" spans="1:11" ht="13.5" thickBot="1" x14ac:dyDescent="0.25">
      <c r="C177" s="86"/>
      <c r="D177" s="121" t="s">
        <v>454</v>
      </c>
      <c r="E177" s="693">
        <f>Resultado!B135</f>
        <v>653907.1400000006</v>
      </c>
      <c r="F177" s="120">
        <f>E177</f>
        <v>653907.1400000006</v>
      </c>
      <c r="G177" s="135"/>
      <c r="H177" s="135"/>
      <c r="I177" s="135"/>
      <c r="J177" s="139"/>
      <c r="K177" s="91"/>
    </row>
    <row r="178" spans="1:11" ht="13.5" thickBot="1" x14ac:dyDescent="0.25">
      <c r="C178" s="86"/>
      <c r="D178" s="121" t="s">
        <v>246</v>
      </c>
      <c r="E178" s="693">
        <f>Resultado!B55</f>
        <v>0.36000000000058208</v>
      </c>
      <c r="F178" s="114">
        <f>ROUND(E178*0.14,0)</f>
        <v>0</v>
      </c>
      <c r="G178" s="114">
        <f>ROUND(E178*0.15,0)</f>
        <v>0</v>
      </c>
      <c r="H178" s="114">
        <f>ROUND(E178*0.63,0)</f>
        <v>0</v>
      </c>
      <c r="I178" s="114">
        <f>+E178*0.05</f>
        <v>1.8000000000029104E-2</v>
      </c>
      <c r="J178" s="114">
        <f>+E178-F178-G178-H178-I178</f>
        <v>0.34200000000055297</v>
      </c>
    </row>
    <row r="179" spans="1:11" ht="13.5" thickBot="1" x14ac:dyDescent="0.25">
      <c r="C179" s="86"/>
      <c r="D179" s="121" t="s">
        <v>455</v>
      </c>
      <c r="E179" s="697">
        <f>Resultado!B129</f>
        <v>47945.780000000028</v>
      </c>
      <c r="F179" s="125">
        <f>E179</f>
        <v>47945.780000000028</v>
      </c>
      <c r="G179" s="125"/>
      <c r="H179" s="125"/>
      <c r="I179" s="125"/>
    </row>
    <row r="180" spans="1:11" ht="13.5" thickBot="1" x14ac:dyDescent="0.25">
      <c r="C180" s="86"/>
      <c r="D180" s="121" t="s">
        <v>456</v>
      </c>
      <c r="E180" s="693">
        <f>Resultado!B165</f>
        <v>12755.009999999776</v>
      </c>
      <c r="F180" s="114">
        <f>ROUND(E180*0.14,0)</f>
        <v>1786</v>
      </c>
      <c r="G180" s="114">
        <f>ROUND(E180*0.15,0)</f>
        <v>1913</v>
      </c>
      <c r="H180" s="114">
        <f>ROUND(E180*0.63,0)</f>
        <v>8036</v>
      </c>
      <c r="I180" s="114">
        <f>+E180*0.05</f>
        <v>637.75049999998885</v>
      </c>
      <c r="J180" s="114">
        <f>+E180-F180-G180-H180-I180</f>
        <v>382.25949999978764</v>
      </c>
    </row>
    <row r="181" spans="1:11" ht="13.5" thickBot="1" x14ac:dyDescent="0.25">
      <c r="C181" s="86"/>
      <c r="D181" s="121" t="s">
        <v>457</v>
      </c>
      <c r="E181" s="693">
        <f>Resultado!B156</f>
        <v>59000</v>
      </c>
      <c r="F181" s="114"/>
      <c r="G181" s="114"/>
      <c r="H181" s="114">
        <f>E181</f>
        <v>59000</v>
      </c>
      <c r="I181" s="114"/>
    </row>
    <row r="182" spans="1:11" ht="13.5" thickBot="1" x14ac:dyDescent="0.25">
      <c r="C182" s="86"/>
      <c r="D182" s="121" t="s">
        <v>458</v>
      </c>
      <c r="E182" s="697">
        <f>Resultado!B157</f>
        <v>35680</v>
      </c>
      <c r="F182" s="114"/>
      <c r="G182" s="114"/>
      <c r="H182" s="114">
        <f>E182</f>
        <v>35680</v>
      </c>
      <c r="I182" s="114"/>
    </row>
    <row r="183" spans="1:11" ht="13.5" thickBot="1" x14ac:dyDescent="0.25">
      <c r="C183" s="86"/>
      <c r="D183" s="121" t="s">
        <v>459</v>
      </c>
      <c r="E183" s="697">
        <v>0</v>
      </c>
      <c r="F183" s="114"/>
      <c r="G183" s="114"/>
      <c r="H183" s="114">
        <f>E183</f>
        <v>0</v>
      </c>
      <c r="I183" s="114"/>
    </row>
    <row r="184" spans="1:11" ht="13.5" thickBot="1" x14ac:dyDescent="0.25">
      <c r="C184" s="86"/>
      <c r="D184" s="121" t="s">
        <v>460</v>
      </c>
      <c r="E184" s="693">
        <f>Resultado!B92</f>
        <v>238350</v>
      </c>
      <c r="F184" s="114">
        <f>E184</f>
        <v>238350</v>
      </c>
      <c r="G184" s="114"/>
      <c r="H184" s="114"/>
      <c r="I184" s="114"/>
    </row>
    <row r="185" spans="1:11" ht="13.5" thickBot="1" x14ac:dyDescent="0.25">
      <c r="C185" s="86"/>
      <c r="D185" s="121" t="s">
        <v>461</v>
      </c>
      <c r="E185" s="693">
        <f>Resultado!B145</f>
        <v>585658.00000000023</v>
      </c>
      <c r="F185" s="114">
        <f>E185</f>
        <v>585658.00000000023</v>
      </c>
      <c r="G185" s="114"/>
      <c r="H185" s="114"/>
      <c r="I185" s="114"/>
    </row>
    <row r="186" spans="1:11" x14ac:dyDescent="0.2">
      <c r="A186">
        <v>3</v>
      </c>
      <c r="D186" s="208" t="s">
        <v>462</v>
      </c>
      <c r="E186" s="698">
        <f>E187+E191+E196+E206+E200</f>
        <v>9932636.6100000013</v>
      </c>
      <c r="F186" s="138">
        <f>F187+F191+F196+F206+F200</f>
        <v>1390570</v>
      </c>
      <c r="G186" s="138">
        <f>G187+G191+G196+G206+G200</f>
        <v>1489896</v>
      </c>
      <c r="H186" s="138">
        <f>H187+H191+H196+H206+H200</f>
        <v>6257562</v>
      </c>
      <c r="I186" s="138">
        <f t="shared" ref="I186:J186" si="24">+I187+I191+I196+I206+I200</f>
        <v>496631.8305000001</v>
      </c>
      <c r="J186" s="138">
        <f t="shared" si="24"/>
        <v>297976.77950000187</v>
      </c>
    </row>
    <row r="187" spans="1:11" ht="13.5" thickBot="1" x14ac:dyDescent="0.25">
      <c r="B187">
        <v>32</v>
      </c>
      <c r="D187" t="s">
        <v>183</v>
      </c>
      <c r="E187" s="111">
        <f>E188+E189</f>
        <v>0</v>
      </c>
      <c r="F187" s="114">
        <f>F188</f>
        <v>0</v>
      </c>
      <c r="G187" s="114">
        <f>G188</f>
        <v>0</v>
      </c>
      <c r="H187" s="114">
        <f>H188</f>
        <v>0</v>
      </c>
      <c r="I187" s="114">
        <f>+I188</f>
        <v>0</v>
      </c>
      <c r="J187" s="114">
        <f>+J188</f>
        <v>0</v>
      </c>
    </row>
    <row r="188" spans="1:11" ht="13.5" thickBot="1" x14ac:dyDescent="0.25">
      <c r="C188">
        <v>323</v>
      </c>
      <c r="D188" s="140" t="s">
        <v>463</v>
      </c>
      <c r="E188" s="699">
        <f>Resultado!B72</f>
        <v>0</v>
      </c>
      <c r="F188" s="114">
        <f>ROUND(E188*0.14,0)</f>
        <v>0</v>
      </c>
      <c r="G188" s="114">
        <f>ROUND(E188*0.15,0)</f>
        <v>0</v>
      </c>
      <c r="H188" s="114">
        <f>ROUND(E188*0.63,0)</f>
        <v>0</v>
      </c>
      <c r="I188" s="114">
        <f>+E188*0.05</f>
        <v>0</v>
      </c>
      <c r="J188" s="114">
        <f>+E188-F188-G188-H188-I188</f>
        <v>0</v>
      </c>
    </row>
    <row r="189" spans="1:11" ht="13.5" thickBot="1" x14ac:dyDescent="0.25">
      <c r="C189">
        <v>324</v>
      </c>
      <c r="D189" s="123" t="s">
        <v>464</v>
      </c>
      <c r="E189" s="697">
        <v>0</v>
      </c>
      <c r="F189" s="114"/>
      <c r="G189" s="114"/>
      <c r="H189" s="114"/>
      <c r="I189" s="114"/>
    </row>
    <row r="190" spans="1:11" x14ac:dyDescent="0.2">
      <c r="D190" s="124"/>
      <c r="E190" s="679"/>
      <c r="F190" s="114"/>
      <c r="G190" s="114"/>
      <c r="H190" s="114"/>
      <c r="I190" s="114"/>
    </row>
    <row r="191" spans="1:11" x14ac:dyDescent="0.2">
      <c r="B191">
        <v>33</v>
      </c>
      <c r="D191" s="86" t="s">
        <v>465</v>
      </c>
      <c r="E191" s="111">
        <f>E192</f>
        <v>1878210.7699999998</v>
      </c>
      <c r="F191" s="114">
        <f>F192</f>
        <v>262950</v>
      </c>
      <c r="G191" s="114">
        <f>G192</f>
        <v>281732</v>
      </c>
      <c r="H191" s="114">
        <f>H192</f>
        <v>1183273</v>
      </c>
      <c r="I191" s="114">
        <f t="shared" ref="I191:J191" si="25">+I192</f>
        <v>93910.538499999995</v>
      </c>
      <c r="J191" s="114">
        <f t="shared" si="25"/>
        <v>56345.231499999791</v>
      </c>
    </row>
    <row r="192" spans="1:11" ht="13.5" thickBot="1" x14ac:dyDescent="0.25">
      <c r="C192">
        <v>331</v>
      </c>
      <c r="D192" s="123" t="s">
        <v>466</v>
      </c>
      <c r="E192" s="700">
        <f>SUM(E193:E194)</f>
        <v>1878210.7699999998</v>
      </c>
      <c r="F192" s="114">
        <f>ROUND(E192*0.14,0)</f>
        <v>262950</v>
      </c>
      <c r="G192" s="114">
        <f>ROUND(E192*0.15,0)</f>
        <v>281732</v>
      </c>
      <c r="H192" s="114">
        <f>ROUND(E192*0.63,0)</f>
        <v>1183273</v>
      </c>
      <c r="I192" s="114">
        <f>+E192*0.05</f>
        <v>93910.538499999995</v>
      </c>
      <c r="J192" s="114">
        <f>+E192-F192-G192-H192-I192</f>
        <v>56345.231499999791</v>
      </c>
    </row>
    <row r="193" spans="2:10" ht="13.5" thickBot="1" x14ac:dyDescent="0.25">
      <c r="D193" s="123" t="s">
        <v>292</v>
      </c>
      <c r="E193" s="675">
        <f>Resultado!B137</f>
        <v>1877925.7599999998</v>
      </c>
      <c r="F193" s="114"/>
      <c r="G193" s="114"/>
      <c r="H193" s="114"/>
      <c r="I193" s="114"/>
      <c r="J193" s="114"/>
    </row>
    <row r="194" spans="2:10" ht="13.5" thickBot="1" x14ac:dyDescent="0.25">
      <c r="D194" s="123" t="s">
        <v>467</v>
      </c>
      <c r="E194" s="686">
        <f>Resultado!B139</f>
        <v>285.01000000000204</v>
      </c>
      <c r="F194" s="114"/>
      <c r="G194" s="114"/>
      <c r="H194" s="114"/>
      <c r="I194" s="114"/>
      <c r="J194" s="114"/>
    </row>
    <row r="195" spans="2:10" x14ac:dyDescent="0.2">
      <c r="E195" s="111"/>
      <c r="F195" s="114"/>
      <c r="G195" s="114"/>
      <c r="H195" s="114"/>
      <c r="I195" s="114"/>
    </row>
    <row r="196" spans="2:10" ht="13.5" thickBot="1" x14ac:dyDescent="0.25">
      <c r="B196">
        <v>35</v>
      </c>
      <c r="D196" s="86" t="s">
        <v>468</v>
      </c>
      <c r="E196" s="111">
        <f>E197</f>
        <v>44600</v>
      </c>
      <c r="F196" s="114">
        <f>ROUND(E196*0.14,0)</f>
        <v>6244</v>
      </c>
      <c r="G196" s="114">
        <f>ROUND(E196*0.15,0)</f>
        <v>6690</v>
      </c>
      <c r="H196" s="114">
        <f>ROUND(E196*0.63,0)</f>
        <v>28098</v>
      </c>
      <c r="I196" s="114">
        <f>+E196*0.05</f>
        <v>2230</v>
      </c>
      <c r="J196" s="114">
        <f>+E196-F196-G196-H196-I196</f>
        <v>1338</v>
      </c>
    </row>
    <row r="197" spans="2:10" ht="13.5" thickBot="1" x14ac:dyDescent="0.25">
      <c r="C197">
        <v>353</v>
      </c>
      <c r="D197" s="121" t="s">
        <v>469</v>
      </c>
      <c r="E197" s="693">
        <f>Resultado!B105</f>
        <v>44600</v>
      </c>
      <c r="F197" s="114">
        <f>ROUND(E197*0.14,0)</f>
        <v>6244</v>
      </c>
      <c r="G197" s="114">
        <f>ROUND(E197*0.15,0)</f>
        <v>6690</v>
      </c>
      <c r="H197" s="114">
        <f>ROUND(E197*0.63,0)</f>
        <v>28098</v>
      </c>
      <c r="I197" s="114">
        <f>+E197*0.05</f>
        <v>2230</v>
      </c>
      <c r="J197" s="114">
        <f>+E197-F197-G197-H197-I197</f>
        <v>1338</v>
      </c>
    </row>
    <row r="198" spans="2:10" x14ac:dyDescent="0.2">
      <c r="E198" s="685"/>
      <c r="F198" s="114"/>
      <c r="G198" s="114"/>
      <c r="H198" s="114"/>
      <c r="I198" s="114"/>
    </row>
    <row r="199" spans="2:10" x14ac:dyDescent="0.2">
      <c r="E199" s="685"/>
      <c r="F199" s="114"/>
      <c r="G199" s="114"/>
      <c r="H199" s="114"/>
      <c r="I199" s="114"/>
    </row>
    <row r="200" spans="2:10" x14ac:dyDescent="0.2">
      <c r="B200">
        <v>37</v>
      </c>
      <c r="C200" s="130"/>
      <c r="D200" s="124" t="s">
        <v>470</v>
      </c>
      <c r="E200" s="680">
        <f>E201</f>
        <v>2535801.5100000016</v>
      </c>
      <c r="F200" s="120">
        <f>F201</f>
        <v>355012</v>
      </c>
      <c r="G200" s="120">
        <f>G201</f>
        <v>380370</v>
      </c>
      <c r="H200" s="120">
        <f>H201</f>
        <v>1597555</v>
      </c>
      <c r="I200" s="120">
        <f t="shared" ref="I200:J200" si="26">+I201</f>
        <v>126790.07550000009</v>
      </c>
      <c r="J200" s="120">
        <f t="shared" si="26"/>
        <v>76074.434500001546</v>
      </c>
    </row>
    <row r="201" spans="2:10" x14ac:dyDescent="0.2">
      <c r="C201" s="130">
        <v>371</v>
      </c>
      <c r="D201" s="124" t="s">
        <v>52</v>
      </c>
      <c r="E201" s="680">
        <f>E203+E204</f>
        <v>2535801.5100000016</v>
      </c>
      <c r="F201" s="120">
        <f>ROUND(E201*0.14,0)</f>
        <v>355012</v>
      </c>
      <c r="G201" s="120">
        <f>ROUND(E201*0.15,0)</f>
        <v>380370</v>
      </c>
      <c r="H201" s="120">
        <f>ROUND(E201*0.63,0)</f>
        <v>1597555</v>
      </c>
      <c r="I201" s="114">
        <f>+E201*0.05</f>
        <v>126790.07550000009</v>
      </c>
      <c r="J201" s="114">
        <f>+E201-F201-G201-H201-I201</f>
        <v>76074.434500001546</v>
      </c>
    </row>
    <row r="202" spans="2:10" ht="13.5" thickBot="1" x14ac:dyDescent="0.25">
      <c r="D202" t="s">
        <v>359</v>
      </c>
      <c r="E202" s="111"/>
      <c r="F202" s="114"/>
      <c r="G202" s="114"/>
      <c r="H202" s="114"/>
      <c r="I202" s="114"/>
    </row>
    <row r="203" spans="2:10" ht="13.5" thickBot="1" x14ac:dyDescent="0.25">
      <c r="D203" s="121" t="s">
        <v>471</v>
      </c>
      <c r="E203" s="675">
        <f>Resultado!B113</f>
        <v>2535801.5100000016</v>
      </c>
      <c r="F203" s="114">
        <f>ROUND(E203*0.14,0)</f>
        <v>355012</v>
      </c>
      <c r="G203" s="114">
        <f>ROUND(E203*0.15,0)</f>
        <v>380370</v>
      </c>
      <c r="H203" s="114">
        <f>ROUND(E203*0.63,0)</f>
        <v>1597555</v>
      </c>
      <c r="I203" s="114">
        <f>+E203*0.05</f>
        <v>126790.07550000009</v>
      </c>
      <c r="J203" s="114">
        <f>+E203-F203-G203-H203-I203</f>
        <v>76074.434500001546</v>
      </c>
    </row>
    <row r="204" spans="2:10" x14ac:dyDescent="0.2">
      <c r="D204" s="122" t="s">
        <v>472</v>
      </c>
      <c r="E204" s="681">
        <f>Resultado!B114</f>
        <v>0</v>
      </c>
      <c r="F204" s="114">
        <f>ROUND(E204*0.14,0)</f>
        <v>0</v>
      </c>
      <c r="G204" s="114">
        <f>ROUND(E204*0.15,0)</f>
        <v>0</v>
      </c>
      <c r="H204" s="114">
        <f>ROUND(E204*0.63,0)</f>
        <v>0</v>
      </c>
      <c r="I204" s="114">
        <f>+E204-F204-G204-H204</f>
        <v>0</v>
      </c>
    </row>
    <row r="205" spans="2:10" x14ac:dyDescent="0.2">
      <c r="E205" s="111"/>
      <c r="F205" s="114"/>
      <c r="G205" s="114"/>
      <c r="H205" s="114"/>
      <c r="I205" s="114"/>
    </row>
    <row r="206" spans="2:10" x14ac:dyDescent="0.2">
      <c r="B206">
        <v>39</v>
      </c>
      <c r="D206" t="s">
        <v>54</v>
      </c>
      <c r="E206" s="111">
        <f>E207+E212</f>
        <v>5474024.3300000001</v>
      </c>
      <c r="F206" s="114">
        <f>F207+F212</f>
        <v>766364</v>
      </c>
      <c r="G206" s="114">
        <f>G207+G212</f>
        <v>821104</v>
      </c>
      <c r="H206" s="114">
        <f>H207+H212</f>
        <v>3448636</v>
      </c>
      <c r="I206" s="114">
        <f t="shared" ref="I206:J206" si="27">+I207+I212</f>
        <v>273701.21650000004</v>
      </c>
      <c r="J206" s="114">
        <f t="shared" si="27"/>
        <v>164219.11350000053</v>
      </c>
    </row>
    <row r="207" spans="2:10" x14ac:dyDescent="0.2">
      <c r="C207">
        <v>391</v>
      </c>
      <c r="D207" t="s">
        <v>473</v>
      </c>
      <c r="E207" s="111">
        <f>E209+E210</f>
        <v>186730.93999999994</v>
      </c>
      <c r="F207" s="114">
        <f>F209+F210</f>
        <v>26143</v>
      </c>
      <c r="G207" s="114">
        <f>G209+G210</f>
        <v>28010</v>
      </c>
      <c r="H207" s="114">
        <f>H209+H210</f>
        <v>117641</v>
      </c>
      <c r="I207" s="114">
        <f t="shared" ref="I207:J207" si="28">+I209+I210</f>
        <v>9336.5469999999987</v>
      </c>
      <c r="J207" s="114">
        <f t="shared" si="28"/>
        <v>5600.3929999999464</v>
      </c>
    </row>
    <row r="208" spans="2:10" ht="13.5" thickBot="1" x14ac:dyDescent="0.25">
      <c r="D208" t="s">
        <v>359</v>
      </c>
      <c r="E208" s="111"/>
      <c r="F208" s="114"/>
      <c r="G208" s="114"/>
      <c r="H208" s="114"/>
      <c r="I208" s="114"/>
    </row>
    <row r="209" spans="1:10" ht="13.5" thickBot="1" x14ac:dyDescent="0.25">
      <c r="D209" s="122" t="s">
        <v>474</v>
      </c>
      <c r="E209" s="693">
        <f>Resultado!B94</f>
        <v>29690</v>
      </c>
      <c r="F209" s="114">
        <f>ROUND(E209*0.14,0)</f>
        <v>4157</v>
      </c>
      <c r="G209" s="114">
        <f>ROUND(E209*0.15,0)</f>
        <v>4454</v>
      </c>
      <c r="H209" s="114">
        <f>ROUND(E209*0.63,0)</f>
        <v>18705</v>
      </c>
      <c r="I209" s="114">
        <f>+E209*0.05</f>
        <v>1484.5</v>
      </c>
      <c r="J209" s="114">
        <f>+E209-F209-G209-H209-I209</f>
        <v>889.5</v>
      </c>
    </row>
    <row r="210" spans="1:10" ht="13.5" thickBot="1" x14ac:dyDescent="0.25">
      <c r="D210" s="122" t="s">
        <v>475</v>
      </c>
      <c r="E210" s="693">
        <f>Resultado!B138</f>
        <v>157040.93999999994</v>
      </c>
      <c r="F210" s="114">
        <f>ROUND(E210*0.14,0)</f>
        <v>21986</v>
      </c>
      <c r="G210" s="114">
        <f>ROUND(E210*0.15,0)</f>
        <v>23556</v>
      </c>
      <c r="H210" s="114">
        <f>ROUND(E210*0.63,0)</f>
        <v>98936</v>
      </c>
      <c r="I210" s="114">
        <f>+E210*0.05</f>
        <v>7852.0469999999978</v>
      </c>
      <c r="J210" s="114">
        <f>+E210-F210-G210-H210-I210</f>
        <v>4710.8929999999464</v>
      </c>
    </row>
    <row r="211" spans="1:10" x14ac:dyDescent="0.2">
      <c r="E211" s="111"/>
      <c r="F211" s="114"/>
      <c r="G211" s="114"/>
      <c r="H211" s="114"/>
      <c r="I211" s="114"/>
    </row>
    <row r="212" spans="1:10" x14ac:dyDescent="0.2">
      <c r="C212">
        <v>399</v>
      </c>
      <c r="D212" s="86" t="s">
        <v>476</v>
      </c>
      <c r="E212" s="111">
        <f>E214+E215+E216+E218+E217</f>
        <v>5287293.3900000006</v>
      </c>
      <c r="F212" s="114">
        <f>ROUND(E212*0.14,0)</f>
        <v>740221</v>
      </c>
      <c r="G212" s="114">
        <f>ROUND(E212*0.15,0)</f>
        <v>793094</v>
      </c>
      <c r="H212" s="114">
        <f>ROUND(E212*0.63,0)</f>
        <v>3330995</v>
      </c>
      <c r="I212" s="114">
        <f>+E212*0.05</f>
        <v>264364.66950000002</v>
      </c>
      <c r="J212" s="114">
        <f>+E212-F212-G212-H212-I212</f>
        <v>158618.72050000058</v>
      </c>
    </row>
    <row r="213" spans="1:10" ht="13.5" thickBot="1" x14ac:dyDescent="0.25">
      <c r="D213" t="s">
        <v>359</v>
      </c>
      <c r="E213" s="111"/>
      <c r="F213" s="114"/>
      <c r="G213" s="114"/>
      <c r="H213" s="114"/>
      <c r="I213" s="114">
        <f>+E213*0.05</f>
        <v>0</v>
      </c>
      <c r="J213" s="114">
        <f>+E213-F213-G213-H213-I213</f>
        <v>0</v>
      </c>
    </row>
    <row r="214" spans="1:10" ht="13.5" thickBot="1" x14ac:dyDescent="0.25">
      <c r="D214" s="122" t="s">
        <v>299</v>
      </c>
      <c r="E214" s="693">
        <f>Resultado!B146+Resultado!B147</f>
        <v>1187293.3900000006</v>
      </c>
      <c r="F214" s="114">
        <f>ROUND(E214*0.14,0)</f>
        <v>166221</v>
      </c>
      <c r="G214" s="114">
        <f>ROUND(E214*0.15,0)</f>
        <v>178094</v>
      </c>
      <c r="H214" s="114">
        <f>ROUND(E214*0.63,0)</f>
        <v>747995</v>
      </c>
      <c r="I214" s="114">
        <f>+E214*0.05</f>
        <v>59364.669500000033</v>
      </c>
      <c r="J214" s="114">
        <f>+E214-F214-G214-H214-I214</f>
        <v>35618.720500000563</v>
      </c>
    </row>
    <row r="215" spans="1:10" ht="13.5" thickBot="1" x14ac:dyDescent="0.25">
      <c r="D215" s="122" t="s">
        <v>477</v>
      </c>
      <c r="E215" s="697">
        <f>Resultado!B131</f>
        <v>0</v>
      </c>
      <c r="F215" s="114">
        <f t="shared" ref="F215:F216" si="29">ROUND(E215*0.14,0)</f>
        <v>0</v>
      </c>
      <c r="G215" s="114">
        <f>ROUND(E215*0.15,0)</f>
        <v>0</v>
      </c>
      <c r="H215" s="114">
        <f>ROUND(E215*0.63,0)</f>
        <v>0</v>
      </c>
      <c r="I215" s="114">
        <f>+E215-F215-G215-H215</f>
        <v>0</v>
      </c>
    </row>
    <row r="216" spans="1:10" x14ac:dyDescent="0.2">
      <c r="D216" s="122" t="s">
        <v>478</v>
      </c>
      <c r="E216" s="672">
        <f>Resultado!B161</f>
        <v>4100000</v>
      </c>
      <c r="F216" s="114">
        <f t="shared" si="29"/>
        <v>574000</v>
      </c>
      <c r="G216" s="114">
        <f>ROUND(E216*0.15,0)</f>
        <v>615000</v>
      </c>
      <c r="H216" s="114">
        <f>ROUND(E216*0.63,0)</f>
        <v>2583000</v>
      </c>
      <c r="I216" s="114">
        <f>+E216-F216-G216-H216</f>
        <v>328000</v>
      </c>
    </row>
    <row r="217" spans="1:10" x14ac:dyDescent="0.2">
      <c r="D217" s="140" t="s">
        <v>479</v>
      </c>
      <c r="E217" s="672">
        <f>Resultado!B162</f>
        <v>0</v>
      </c>
      <c r="F217" s="114"/>
      <c r="G217" s="114"/>
      <c r="H217" s="114"/>
      <c r="I217" s="114"/>
    </row>
    <row r="218" spans="1:10" x14ac:dyDescent="0.2">
      <c r="D218" s="122" t="s">
        <v>480</v>
      </c>
      <c r="E218" s="672">
        <f>Resultado!B169+Resultado!B171</f>
        <v>0</v>
      </c>
      <c r="F218" s="114"/>
      <c r="G218" s="114"/>
      <c r="H218" s="114">
        <f>E218</f>
        <v>0</v>
      </c>
      <c r="I218" s="114">
        <f>+E218-F218-G218-H218</f>
        <v>0</v>
      </c>
    </row>
    <row r="219" spans="1:10" x14ac:dyDescent="0.2">
      <c r="E219" s="111"/>
      <c r="F219" s="114"/>
      <c r="G219" s="114"/>
      <c r="H219" s="114"/>
      <c r="I219" s="114"/>
    </row>
    <row r="220" spans="1:10" x14ac:dyDescent="0.2">
      <c r="A220">
        <v>4</v>
      </c>
      <c r="D220" s="206" t="s">
        <v>481</v>
      </c>
      <c r="E220" s="701">
        <f>E221+E228</f>
        <v>41683202.019999981</v>
      </c>
      <c r="F220" s="207">
        <f>F221+F224+F228</f>
        <v>5952187</v>
      </c>
      <c r="G220" s="207">
        <f>G221+G224+G228</f>
        <v>6232154</v>
      </c>
      <c r="H220" s="207">
        <f>H221+H224+H228</f>
        <v>26175046</v>
      </c>
      <c r="I220" s="207">
        <f>+I221+I224+I228</f>
        <v>2077384.6009999991</v>
      </c>
      <c r="J220" s="207">
        <f>+J221+J224+J228</f>
        <v>1246430.4189999818</v>
      </c>
    </row>
    <row r="221" spans="1:10" x14ac:dyDescent="0.2">
      <c r="B221">
        <v>41</v>
      </c>
      <c r="D221" s="86" t="s">
        <v>482</v>
      </c>
      <c r="E221" s="111">
        <f>E222+E225+E226</f>
        <v>41683202.019999981</v>
      </c>
      <c r="F221" s="114">
        <f>F222</f>
        <v>5816677</v>
      </c>
      <c r="G221" s="114">
        <f>G222</f>
        <v>6232154</v>
      </c>
      <c r="H221" s="114">
        <f>H222</f>
        <v>26175046</v>
      </c>
      <c r="I221" s="114">
        <f>+I222</f>
        <v>2077384.6009999991</v>
      </c>
      <c r="J221" s="114">
        <f>+J222</f>
        <v>1246430.4189999818</v>
      </c>
    </row>
    <row r="222" spans="1:10" ht="13.5" thickBot="1" x14ac:dyDescent="0.25">
      <c r="C222">
        <v>411</v>
      </c>
      <c r="D222" s="140" t="s">
        <v>483</v>
      </c>
      <c r="E222" s="671">
        <f>E223</f>
        <v>41547692.019999981</v>
      </c>
      <c r="F222" s="114">
        <f>ROUND(E222*0.14,0)</f>
        <v>5816677</v>
      </c>
      <c r="G222" s="114">
        <f>ROUND(E222*0.15,0)</f>
        <v>6232154</v>
      </c>
      <c r="H222" s="114">
        <f>ROUND(E222*0.63,0)</f>
        <v>26175046</v>
      </c>
      <c r="I222" s="114">
        <f>+E222*0.05</f>
        <v>2077384.6009999991</v>
      </c>
      <c r="J222" s="114">
        <f>+E222-F222-G222-H222-I222</f>
        <v>1246430.4189999818</v>
      </c>
    </row>
    <row r="223" spans="1:10" ht="13.5" thickBot="1" x14ac:dyDescent="0.25">
      <c r="C223" s="86" t="s">
        <v>484</v>
      </c>
      <c r="D223" s="121" t="s">
        <v>485</v>
      </c>
      <c r="E223" s="693">
        <f>Resultado!B59</f>
        <v>41547692.019999981</v>
      </c>
      <c r="F223" s="114"/>
      <c r="G223" s="114"/>
      <c r="H223" s="114"/>
      <c r="I223" s="114"/>
    </row>
    <row r="224" spans="1:10" ht="13.5" thickBot="1" x14ac:dyDescent="0.25">
      <c r="E224" s="188"/>
      <c r="F224" s="114">
        <f>F225+F226</f>
        <v>135510</v>
      </c>
      <c r="G224" s="114">
        <f>G225+G226</f>
        <v>0</v>
      </c>
      <c r="H224" s="114">
        <f>H225+H226</f>
        <v>0</v>
      </c>
      <c r="I224" s="141">
        <f>+I225+I226</f>
        <v>0</v>
      </c>
    </row>
    <row r="225" spans="1:31" ht="13.5" thickBot="1" x14ac:dyDescent="0.25">
      <c r="C225">
        <v>412</v>
      </c>
      <c r="D225" s="122" t="s">
        <v>486</v>
      </c>
      <c r="E225" s="693">
        <f>Resultado!B168</f>
        <v>135510</v>
      </c>
      <c r="F225" s="114">
        <f>E225</f>
        <v>135510</v>
      </c>
      <c r="G225" s="114"/>
      <c r="H225" s="114"/>
      <c r="I225" s="142"/>
    </row>
    <row r="226" spans="1:31" s="130" customFormat="1" ht="13.5" thickBot="1" x14ac:dyDescent="0.25">
      <c r="A226"/>
      <c r="B226"/>
      <c r="C226">
        <v>414</v>
      </c>
      <c r="D226" s="121" t="s">
        <v>487</v>
      </c>
      <c r="E226" s="697">
        <f>Resultado!B170</f>
        <v>0</v>
      </c>
      <c r="F226" s="114">
        <f>ROUND(E226*0.14,0)</f>
        <v>0</v>
      </c>
      <c r="G226" s="114">
        <f>ROUND(E226*0.15,0)</f>
        <v>0</v>
      </c>
      <c r="H226" s="114">
        <f>ROUND(E226*0.63,0)</f>
        <v>0</v>
      </c>
      <c r="I226" s="114">
        <f>+E226*0.05</f>
        <v>0</v>
      </c>
      <c r="J226" s="114">
        <f>+E226-F226-G226-H226-I226</f>
        <v>0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ht="15" x14ac:dyDescent="0.2">
      <c r="D227" s="122" t="s">
        <v>488</v>
      </c>
      <c r="E227" s="702">
        <f>Resultado!B77</f>
        <v>0</v>
      </c>
      <c r="F227" s="114"/>
      <c r="G227" s="114"/>
      <c r="H227" s="114"/>
      <c r="I227" s="114"/>
    </row>
    <row r="228" spans="1:31" x14ac:dyDescent="0.2">
      <c r="B228" s="139"/>
      <c r="C228" s="139"/>
      <c r="D228" s="139"/>
      <c r="E228" s="685">
        <f>E229</f>
        <v>0</v>
      </c>
      <c r="F228" s="114">
        <f>F229</f>
        <v>0</v>
      </c>
      <c r="G228" s="114">
        <f>G229</f>
        <v>0</v>
      </c>
      <c r="H228" s="114">
        <f>H229</f>
        <v>0</v>
      </c>
      <c r="I228" s="114">
        <f>+I229</f>
        <v>0</v>
      </c>
    </row>
    <row r="229" spans="1:31" x14ac:dyDescent="0.2">
      <c r="B229" s="139"/>
      <c r="C229" s="139"/>
      <c r="D229" s="139"/>
      <c r="E229" s="685">
        <f>E231+E232+E233</f>
        <v>0</v>
      </c>
      <c r="F229" s="114"/>
      <c r="G229" s="114">
        <f>G231+G232+G233</f>
        <v>0</v>
      </c>
      <c r="H229" s="114">
        <f>H231+H232+H233</f>
        <v>0</v>
      </c>
      <c r="I229" s="114">
        <f>+I231+I232+I233</f>
        <v>0</v>
      </c>
    </row>
    <row r="230" spans="1:31" x14ac:dyDescent="0.2">
      <c r="B230" s="139"/>
      <c r="C230" s="139"/>
      <c r="D230" s="139"/>
      <c r="E230" s="685"/>
      <c r="F230" s="114"/>
      <c r="G230" s="114"/>
      <c r="H230" s="114"/>
      <c r="I230" s="114"/>
    </row>
    <row r="231" spans="1:31" x14ac:dyDescent="0.2">
      <c r="B231" s="139"/>
      <c r="C231" s="139"/>
      <c r="D231" s="139"/>
      <c r="E231" s="685"/>
      <c r="F231" s="114"/>
      <c r="G231" s="114"/>
      <c r="H231" s="114"/>
      <c r="I231" s="114"/>
    </row>
    <row r="232" spans="1:31" x14ac:dyDescent="0.2">
      <c r="B232" s="139"/>
      <c r="C232" s="139"/>
      <c r="D232" s="139"/>
      <c r="E232" s="685"/>
      <c r="F232" s="114"/>
      <c r="G232" s="114"/>
      <c r="H232" s="114"/>
      <c r="I232" s="114"/>
    </row>
    <row r="233" spans="1:31" x14ac:dyDescent="0.2">
      <c r="B233" s="139"/>
      <c r="C233" s="139"/>
      <c r="D233" s="139"/>
      <c r="E233" s="685"/>
      <c r="F233" s="114"/>
      <c r="G233" s="114"/>
      <c r="H233" s="114"/>
      <c r="I233" s="114"/>
    </row>
    <row r="234" spans="1:31" x14ac:dyDescent="0.2">
      <c r="E234" s="188"/>
      <c r="F234" s="114"/>
      <c r="G234" s="114"/>
      <c r="H234" s="114"/>
      <c r="I234" s="114"/>
    </row>
    <row r="235" spans="1:31" x14ac:dyDescent="0.2">
      <c r="D235" t="s">
        <v>489</v>
      </c>
      <c r="E235" s="111"/>
      <c r="F235" s="114"/>
      <c r="G235" s="114"/>
      <c r="H235" s="114"/>
      <c r="I235" s="114"/>
    </row>
    <row r="236" spans="1:31" x14ac:dyDescent="0.2">
      <c r="E236" s="111"/>
      <c r="F236" s="114"/>
      <c r="G236" s="114"/>
      <c r="H236" s="114"/>
      <c r="I236" s="114"/>
    </row>
    <row r="237" spans="1:31" x14ac:dyDescent="0.2">
      <c r="D237" s="89" t="s">
        <v>344</v>
      </c>
      <c r="E237" s="111">
        <f>E239+E257+E266</f>
        <v>2984996586.1299996</v>
      </c>
      <c r="F237" s="114">
        <f>F239+F257+F266</f>
        <v>1157039</v>
      </c>
      <c r="G237" s="114">
        <f>G239+G257+G266</f>
        <v>1239684</v>
      </c>
      <c r="H237" s="114">
        <f>H239+H257+H266</f>
        <v>2360552625.5999999</v>
      </c>
      <c r="I237" s="114">
        <f>+I239+I257+I266</f>
        <v>661164.85000010207</v>
      </c>
    </row>
    <row r="238" spans="1:31" x14ac:dyDescent="0.2">
      <c r="E238" s="111"/>
      <c r="F238" s="114"/>
      <c r="G238" s="114"/>
      <c r="H238" s="114"/>
      <c r="I238" s="114"/>
    </row>
    <row r="239" spans="1:31" x14ac:dyDescent="0.2">
      <c r="A239">
        <v>6</v>
      </c>
      <c r="C239" s="86"/>
      <c r="D239" s="527" t="s">
        <v>490</v>
      </c>
      <c r="E239" s="703">
        <f>E240+E250+E254</f>
        <v>8264561.8500001021</v>
      </c>
      <c r="F239" s="528">
        <f>F240+F250+F254</f>
        <v>1157039</v>
      </c>
      <c r="G239" s="528">
        <f>G240+G250+G254</f>
        <v>1239684</v>
      </c>
      <c r="H239" s="528">
        <f>H240+H250+H254</f>
        <v>5206674</v>
      </c>
      <c r="I239" s="528">
        <f>+I240+I250+I254</f>
        <v>661164.85000010207</v>
      </c>
    </row>
    <row r="240" spans="1:31" x14ac:dyDescent="0.2">
      <c r="B240">
        <v>61</v>
      </c>
      <c r="C240" s="86"/>
      <c r="D240" s="527" t="s">
        <v>92</v>
      </c>
      <c r="E240" s="703">
        <f>E241+E242+E243</f>
        <v>8264561.8500001021</v>
      </c>
      <c r="F240" s="528">
        <f>F241+F242+F243</f>
        <v>1157039</v>
      </c>
      <c r="G240" s="528">
        <f>G241+G242+G243</f>
        <v>1239684</v>
      </c>
      <c r="H240" s="528">
        <f>H241+H242+H243</f>
        <v>5206674</v>
      </c>
      <c r="I240" s="528">
        <f>+I241+I242+I243</f>
        <v>661164.85000010207</v>
      </c>
    </row>
    <row r="241" spans="3:9" x14ac:dyDescent="0.2">
      <c r="C241" s="86">
        <v>646</v>
      </c>
      <c r="D241" s="527" t="s">
        <v>491</v>
      </c>
      <c r="E241" s="703">
        <f>ROUND(E245*0.43,0)</f>
        <v>3553762</v>
      </c>
      <c r="F241" s="528">
        <f>ROUND(E241*0.14,0)</f>
        <v>497527</v>
      </c>
      <c r="G241" s="528">
        <f>ROUND(E241*0.15,0)</f>
        <v>533064</v>
      </c>
      <c r="H241" s="528">
        <f>ROUND(E241*0.63,0)</f>
        <v>2238870</v>
      </c>
      <c r="I241" s="528">
        <f>+E241-F241-G241-H241</f>
        <v>284301</v>
      </c>
    </row>
    <row r="242" spans="3:9" x14ac:dyDescent="0.2">
      <c r="C242" s="86">
        <v>613</v>
      </c>
      <c r="D242" s="527" t="s">
        <v>492</v>
      </c>
      <c r="E242" s="703">
        <f>ROUND(E245*0.28,0)</f>
        <v>2314077</v>
      </c>
      <c r="F242" s="528">
        <f>ROUND(E242*0.14,0)</f>
        <v>323971</v>
      </c>
      <c r="G242" s="528">
        <f>ROUND(E242*0.15,0)</f>
        <v>347112</v>
      </c>
      <c r="H242" s="528">
        <f>ROUND(E242*0.63,0)</f>
        <v>1457869</v>
      </c>
      <c r="I242" s="528">
        <f>+E242-F242-G242-H242</f>
        <v>185125</v>
      </c>
    </row>
    <row r="243" spans="3:9" x14ac:dyDescent="0.2">
      <c r="C243" s="86">
        <v>619</v>
      </c>
      <c r="D243" s="527" t="s">
        <v>493</v>
      </c>
      <c r="E243" s="703">
        <f>E245-E241-E242</f>
        <v>2396722.8500001021</v>
      </c>
      <c r="F243" s="528">
        <f>ROUND(E243*0.14,0)</f>
        <v>335541</v>
      </c>
      <c r="G243" s="528">
        <f>ROUND(E243*0.15,0)</f>
        <v>359508</v>
      </c>
      <c r="H243" s="528">
        <f>ROUND(E243*0.63,0)</f>
        <v>1509935</v>
      </c>
      <c r="I243" s="528">
        <f>+E243-F243-G243-H243</f>
        <v>191738.85000010207</v>
      </c>
    </row>
    <row r="244" spans="3:9" ht="13.5" thickBot="1" x14ac:dyDescent="0.25">
      <c r="C244" s="86"/>
      <c r="D244" s="86" t="s">
        <v>359</v>
      </c>
      <c r="E244" s="188"/>
      <c r="F244" s="114"/>
      <c r="G244" s="114"/>
      <c r="H244" s="114"/>
      <c r="I244" s="114"/>
    </row>
    <row r="245" spans="3:9" ht="13.5" thickBot="1" x14ac:dyDescent="0.25">
      <c r="C245" s="86"/>
      <c r="D245" s="86" t="s">
        <v>494</v>
      </c>
      <c r="E245" s="666">
        <f>E246+E247+E248</f>
        <v>8264561.8500001021</v>
      </c>
      <c r="F245" s="120"/>
      <c r="G245" s="114"/>
      <c r="H245" s="114"/>
      <c r="I245" s="114"/>
    </row>
    <row r="246" spans="3:9" x14ac:dyDescent="0.2">
      <c r="C246" s="86"/>
      <c r="D246" s="86" t="s">
        <v>541</v>
      </c>
      <c r="E246" s="704">
        <f>ABS(Situación!D18)</f>
        <v>3070848.3900001049</v>
      </c>
      <c r="F246" s="120"/>
      <c r="G246" s="114">
        <f>ROUND(ABS(Situación!D18),0)</f>
        <v>3070848</v>
      </c>
      <c r="H246" s="114"/>
      <c r="I246" s="114"/>
    </row>
    <row r="247" spans="3:9" x14ac:dyDescent="0.2">
      <c r="C247" s="86"/>
      <c r="D247" s="86" t="s">
        <v>495</v>
      </c>
      <c r="E247" s="705">
        <f>Resultado!B109</f>
        <v>1037455.4499999993</v>
      </c>
      <c r="F247" s="120"/>
      <c r="G247" s="114"/>
      <c r="H247" s="114"/>
      <c r="I247" s="114"/>
    </row>
    <row r="248" spans="3:9" x14ac:dyDescent="0.2">
      <c r="C248" s="86"/>
      <c r="D248" s="86" t="s">
        <v>288</v>
      </c>
      <c r="E248" s="705">
        <f>Resultado!B130</f>
        <v>4156258.0099999979</v>
      </c>
      <c r="F248" s="120"/>
      <c r="G248" s="114"/>
      <c r="H248" s="114"/>
      <c r="I248" s="114"/>
    </row>
    <row r="249" spans="3:9" x14ac:dyDescent="0.2">
      <c r="E249" s="111"/>
      <c r="F249" s="114"/>
      <c r="G249" s="114"/>
      <c r="H249" s="114"/>
      <c r="I249" s="114"/>
    </row>
    <row r="250" spans="3:9" x14ac:dyDescent="0.2">
      <c r="D250" t="s">
        <v>496</v>
      </c>
      <c r="E250" s="111">
        <f>E251+E252</f>
        <v>0</v>
      </c>
      <c r="F250" s="114"/>
      <c r="G250" s="114"/>
      <c r="H250" s="114"/>
      <c r="I250" s="114"/>
    </row>
    <row r="251" spans="3:9" x14ac:dyDescent="0.2">
      <c r="D251" t="s">
        <v>497</v>
      </c>
      <c r="E251" s="111"/>
      <c r="F251" s="114"/>
      <c r="G251" s="114"/>
      <c r="H251" s="148"/>
      <c r="I251" s="114"/>
    </row>
    <row r="252" spans="3:9" x14ac:dyDescent="0.2">
      <c r="D252" t="s">
        <v>498</v>
      </c>
      <c r="E252" s="111"/>
      <c r="F252" s="114"/>
      <c r="G252" s="114"/>
      <c r="H252" s="114"/>
      <c r="I252" s="114"/>
    </row>
    <row r="253" spans="3:9" x14ac:dyDescent="0.2">
      <c r="E253" s="111"/>
      <c r="F253" s="114"/>
      <c r="G253" s="114"/>
      <c r="H253" s="114"/>
      <c r="I253" s="114"/>
    </row>
    <row r="254" spans="3:9" x14ac:dyDescent="0.2">
      <c r="D254" t="s">
        <v>499</v>
      </c>
      <c r="E254" s="111">
        <f>E255</f>
        <v>0</v>
      </c>
      <c r="F254" s="114"/>
      <c r="G254" s="114"/>
      <c r="H254" s="114"/>
      <c r="I254" s="114"/>
    </row>
    <row r="255" spans="3:9" x14ac:dyDescent="0.2">
      <c r="D255" t="s">
        <v>500</v>
      </c>
      <c r="E255" s="111"/>
      <c r="F255" s="114"/>
      <c r="G255" s="114"/>
      <c r="H255" s="114"/>
      <c r="I255" s="114"/>
    </row>
    <row r="256" spans="3:9" x14ac:dyDescent="0.2">
      <c r="E256" s="111"/>
      <c r="F256" s="114"/>
      <c r="G256" s="114"/>
      <c r="H256" s="114"/>
      <c r="I256" s="114"/>
    </row>
    <row r="257" spans="1:10" x14ac:dyDescent="0.2">
      <c r="A257">
        <v>8</v>
      </c>
      <c r="D257" s="86" t="s">
        <v>501</v>
      </c>
      <c r="E257" s="111">
        <f>E258+E262</f>
        <v>2976732024.2799997</v>
      </c>
      <c r="F257" s="114">
        <f>F258+F262</f>
        <v>0</v>
      </c>
      <c r="G257" s="114">
        <f>G258+G262</f>
        <v>0</v>
      </c>
      <c r="H257" s="114">
        <f>+H258+H262</f>
        <v>2355345951.5999999</v>
      </c>
      <c r="I257" s="114">
        <f>+I258+I262</f>
        <v>0</v>
      </c>
    </row>
    <row r="258" spans="1:10" ht="13.5" thickBot="1" x14ac:dyDescent="0.25">
      <c r="B258">
        <v>81</v>
      </c>
      <c r="D258" s="86" t="s">
        <v>502</v>
      </c>
      <c r="E258" s="111">
        <f>E259+E260</f>
        <v>2355345951.5999999</v>
      </c>
      <c r="F258" s="114">
        <f>F259</f>
        <v>0</v>
      </c>
      <c r="G258" s="114">
        <f>G259</f>
        <v>0</v>
      </c>
      <c r="H258" s="114">
        <f>+H259</f>
        <v>2355345951.5999999</v>
      </c>
      <c r="I258" s="114">
        <f>+I259</f>
        <v>0</v>
      </c>
    </row>
    <row r="259" spans="1:10" ht="13.5" thickBot="1" x14ac:dyDescent="0.25">
      <c r="C259" t="s">
        <v>503</v>
      </c>
      <c r="D259" s="86" t="s">
        <v>504</v>
      </c>
      <c r="E259" s="179">
        <f>Resultado!B18</f>
        <v>2355345951.5999999</v>
      </c>
      <c r="F259" s="129"/>
      <c r="G259" s="114"/>
      <c r="H259" s="114">
        <f>+E259</f>
        <v>2355345951.5999999</v>
      </c>
      <c r="I259" s="114"/>
    </row>
    <row r="260" spans="1:10" s="184" customFormat="1" x14ac:dyDescent="0.2">
      <c r="D260" s="185" t="s">
        <v>549</v>
      </c>
      <c r="E260" s="186"/>
      <c r="F260" s="183"/>
      <c r="G260" s="183"/>
      <c r="H260" s="183"/>
      <c r="I260" s="183"/>
    </row>
    <row r="261" spans="1:10" x14ac:dyDescent="0.2">
      <c r="D261" s="89"/>
      <c r="E261" s="111"/>
      <c r="F261" s="114"/>
      <c r="G261" s="114"/>
      <c r="H261" s="114"/>
      <c r="I261" s="114"/>
    </row>
    <row r="262" spans="1:10" ht="13.5" thickBot="1" x14ac:dyDescent="0.25">
      <c r="B262" s="86">
        <v>321</v>
      </c>
      <c r="C262" s="86"/>
      <c r="D262" s="86" t="s">
        <v>505</v>
      </c>
      <c r="E262" s="143">
        <f>E263+E264+E265</f>
        <v>621386072.67999983</v>
      </c>
      <c r="F262" s="114">
        <f>F263+F264</f>
        <v>0</v>
      </c>
      <c r="G262" s="114">
        <f>G263+G264</f>
        <v>0</v>
      </c>
      <c r="H262" s="114">
        <f>+H263+H264</f>
        <v>0</v>
      </c>
      <c r="I262" s="114">
        <f>+I263+I264</f>
        <v>0</v>
      </c>
    </row>
    <row r="263" spans="1:10" ht="13.5" thickBot="1" x14ac:dyDescent="0.25">
      <c r="A263" s="130"/>
      <c r="B263" s="124"/>
      <c r="C263" s="124" t="s">
        <v>506</v>
      </c>
      <c r="D263" s="124" t="s">
        <v>129</v>
      </c>
      <c r="E263" s="706">
        <f>Resultado!B8</f>
        <v>0</v>
      </c>
      <c r="F263" s="114">
        <v>0</v>
      </c>
      <c r="G263" s="114"/>
      <c r="H263" s="114"/>
      <c r="I263" s="144"/>
    </row>
    <row r="264" spans="1:10" s="122" customFormat="1" ht="13.5" thickBot="1" x14ac:dyDescent="0.25">
      <c r="A264" s="130"/>
      <c r="B264" s="124"/>
      <c r="C264" s="452" t="s">
        <v>507</v>
      </c>
      <c r="D264" s="452" t="s">
        <v>508</v>
      </c>
      <c r="E264" s="707">
        <f>Resultado!B12</f>
        <v>621386072.67999983</v>
      </c>
      <c r="F264" s="120">
        <f>E263+E265</f>
        <v>0</v>
      </c>
      <c r="G264" s="120"/>
      <c r="H264" s="120"/>
      <c r="I264" s="120"/>
      <c r="J264"/>
    </row>
    <row r="265" spans="1:10" s="184" customFormat="1" ht="13.5" thickBot="1" x14ac:dyDescent="0.25">
      <c r="C265" s="185" t="s">
        <v>548</v>
      </c>
      <c r="E265" s="667"/>
      <c r="F265" s="183"/>
      <c r="G265" s="183"/>
      <c r="H265" s="183"/>
      <c r="I265" s="183"/>
    </row>
    <row r="266" spans="1:10" x14ac:dyDescent="0.2">
      <c r="A266" s="139">
        <v>8</v>
      </c>
      <c r="B266" s="139"/>
      <c r="C266" s="139"/>
      <c r="D266" s="139" t="s">
        <v>509</v>
      </c>
      <c r="E266" s="111">
        <f>E267+E273</f>
        <v>0</v>
      </c>
      <c r="F266" s="114"/>
      <c r="G266" s="114"/>
      <c r="H266" s="114">
        <f>+H267+H273</f>
        <v>0</v>
      </c>
      <c r="I266" s="114">
        <f>+I267+I273</f>
        <v>0</v>
      </c>
    </row>
    <row r="267" spans="1:10" x14ac:dyDescent="0.2">
      <c r="A267" s="139"/>
      <c r="B267" s="139">
        <v>81</v>
      </c>
      <c r="C267" s="139"/>
      <c r="D267" s="139" t="s">
        <v>510</v>
      </c>
      <c r="E267" s="111">
        <f>E268</f>
        <v>0</v>
      </c>
      <c r="F267" s="114"/>
      <c r="G267" s="114"/>
      <c r="H267" s="114"/>
      <c r="I267" s="114"/>
    </row>
    <row r="268" spans="1:10" x14ac:dyDescent="0.2">
      <c r="A268" s="139"/>
      <c r="B268" s="139"/>
      <c r="C268" s="139">
        <v>814</v>
      </c>
      <c r="D268" s="139" t="s">
        <v>511</v>
      </c>
      <c r="E268" s="111">
        <f>E270+E271</f>
        <v>0</v>
      </c>
      <c r="F268" s="114"/>
      <c r="G268" s="114"/>
      <c r="H268" s="114"/>
      <c r="I268" s="114"/>
    </row>
    <row r="269" spans="1:10" x14ac:dyDescent="0.2">
      <c r="A269" s="139"/>
      <c r="B269" s="139"/>
      <c r="C269" s="139"/>
      <c r="D269" s="139" t="s">
        <v>359</v>
      </c>
      <c r="E269" s="111"/>
      <c r="F269" s="188">
        <f>F266+F267+F268</f>
        <v>0</v>
      </c>
      <c r="G269" s="114"/>
      <c r="H269" s="114"/>
      <c r="I269" s="114"/>
    </row>
    <row r="270" spans="1:10" x14ac:dyDescent="0.2">
      <c r="A270" s="139"/>
      <c r="B270" s="139"/>
      <c r="C270" s="139"/>
      <c r="D270" s="139" t="s">
        <v>512</v>
      </c>
      <c r="E270" s="111"/>
      <c r="F270" s="114"/>
      <c r="G270" s="114"/>
      <c r="H270" s="114"/>
      <c r="I270" s="114"/>
    </row>
    <row r="271" spans="1:10" x14ac:dyDescent="0.2">
      <c r="A271" s="139"/>
      <c r="B271" s="139"/>
      <c r="C271" s="139"/>
      <c r="D271" s="139" t="s">
        <v>513</v>
      </c>
      <c r="E271" s="111"/>
      <c r="F271" s="99"/>
      <c r="G271" s="99"/>
      <c r="H271" s="99"/>
      <c r="I271" s="99"/>
    </row>
    <row r="272" spans="1:10" x14ac:dyDescent="0.2">
      <c r="E272" s="111"/>
      <c r="F272" s="99"/>
      <c r="G272" s="99"/>
      <c r="H272" s="99"/>
      <c r="I272" s="99"/>
    </row>
    <row r="273" spans="1:9" x14ac:dyDescent="0.2">
      <c r="B273">
        <v>322</v>
      </c>
      <c r="D273" t="s">
        <v>514</v>
      </c>
      <c r="E273" s="111">
        <f>E277</f>
        <v>0</v>
      </c>
      <c r="F273" s="99">
        <f>F274</f>
        <v>0</v>
      </c>
      <c r="G273" s="99">
        <f>G274</f>
        <v>0</v>
      </c>
      <c r="H273" s="99">
        <f>+H274</f>
        <v>0</v>
      </c>
      <c r="I273" s="99">
        <f>+I274</f>
        <v>0</v>
      </c>
    </row>
    <row r="274" spans="1:9" x14ac:dyDescent="0.2">
      <c r="C274">
        <v>3221</v>
      </c>
      <c r="D274" s="86" t="s">
        <v>205</v>
      </c>
      <c r="E274" s="111"/>
      <c r="F274" s="99">
        <f>F276+F277</f>
        <v>0</v>
      </c>
      <c r="G274" s="99">
        <f>G276+G277</f>
        <v>0</v>
      </c>
      <c r="H274" s="99">
        <f>+H276+H277</f>
        <v>0</v>
      </c>
      <c r="I274" s="99">
        <f>+I276+I277</f>
        <v>0</v>
      </c>
    </row>
    <row r="275" spans="1:9" x14ac:dyDescent="0.2">
      <c r="D275" t="s">
        <v>359</v>
      </c>
      <c r="E275" s="111"/>
      <c r="F275" s="99"/>
      <c r="G275" s="99"/>
      <c r="H275" s="99"/>
      <c r="I275" s="99"/>
    </row>
    <row r="276" spans="1:9" x14ac:dyDescent="0.2">
      <c r="D276" t="s">
        <v>515</v>
      </c>
      <c r="E276" s="111"/>
      <c r="F276" s="99"/>
      <c r="G276" s="99"/>
      <c r="H276" s="99">
        <f>+E276</f>
        <v>0</v>
      </c>
      <c r="I276" s="99"/>
    </row>
    <row r="277" spans="1:9" x14ac:dyDescent="0.2">
      <c r="C277">
        <v>32211</v>
      </c>
      <c r="D277" t="s">
        <v>516</v>
      </c>
      <c r="E277" s="111"/>
      <c r="F277" s="99"/>
      <c r="G277" s="99"/>
      <c r="H277" s="99"/>
      <c r="I277" s="99"/>
    </row>
    <row r="278" spans="1:9" x14ac:dyDescent="0.2">
      <c r="E278" s="111"/>
      <c r="F278" s="99"/>
      <c r="G278" s="99"/>
      <c r="H278" s="99"/>
      <c r="I278" s="99"/>
    </row>
    <row r="279" spans="1:9" x14ac:dyDescent="0.2">
      <c r="A279">
        <v>9</v>
      </c>
      <c r="D279" s="209" t="s">
        <v>517</v>
      </c>
      <c r="E279" s="708">
        <f t="shared" ref="E279:G280" si="30">E280</f>
        <v>41456030.609999992</v>
      </c>
      <c r="F279" s="210">
        <f t="shared" si="30"/>
        <v>0</v>
      </c>
      <c r="G279" s="210">
        <f t="shared" si="30"/>
        <v>0</v>
      </c>
      <c r="H279" s="211">
        <f t="shared" ref="H279:I280" si="31">+H280</f>
        <v>0</v>
      </c>
      <c r="I279" s="210">
        <f t="shared" si="31"/>
        <v>41456030.609999992</v>
      </c>
    </row>
    <row r="280" spans="1:9" x14ac:dyDescent="0.2">
      <c r="B280">
        <v>91</v>
      </c>
      <c r="D280" s="86" t="s">
        <v>130</v>
      </c>
      <c r="E280" s="111">
        <f t="shared" si="30"/>
        <v>41456030.609999992</v>
      </c>
      <c r="F280" s="99">
        <f t="shared" si="30"/>
        <v>0</v>
      </c>
      <c r="G280" s="99">
        <f t="shared" si="30"/>
        <v>0</v>
      </c>
      <c r="H280" s="99">
        <f t="shared" si="31"/>
        <v>0</v>
      </c>
      <c r="I280" s="99">
        <f t="shared" si="31"/>
        <v>41456030.609999992</v>
      </c>
    </row>
    <row r="281" spans="1:9" x14ac:dyDescent="0.2">
      <c r="C281">
        <v>911</v>
      </c>
      <c r="D281" s="86" t="s">
        <v>518</v>
      </c>
      <c r="E281" s="188">
        <f>E283+E284+E286+E287+E288+E289+E290+E285</f>
        <v>41456030.609999992</v>
      </c>
      <c r="F281" s="99">
        <f>F283+F284+F286+F287+F288+F289+F290</f>
        <v>0</v>
      </c>
      <c r="G281" s="99">
        <f>G283+G284+G286+G287+G288+G289+G290</f>
        <v>0</v>
      </c>
      <c r="H281" s="99">
        <f>+H283+H284+H286+H287+H288+H289+H290</f>
        <v>0</v>
      </c>
      <c r="I281" s="99">
        <f>+I283+I284+I286+I287+I288+I289+I290+I285</f>
        <v>41456030.609999992</v>
      </c>
    </row>
    <row r="282" spans="1:9" ht="13.5" thickBot="1" x14ac:dyDescent="0.25">
      <c r="D282" t="s">
        <v>359</v>
      </c>
      <c r="E282" s="111"/>
      <c r="F282" s="99"/>
      <c r="G282" s="99"/>
      <c r="H282" s="99"/>
      <c r="I282" s="99"/>
    </row>
    <row r="283" spans="1:9" ht="13.5" thickBot="1" x14ac:dyDescent="0.25">
      <c r="D283" s="122" t="s">
        <v>512</v>
      </c>
      <c r="E283" s="693">
        <f>Resultado!B42</f>
        <v>1941875.9599999972</v>
      </c>
      <c r="F283" s="99"/>
      <c r="G283" s="99"/>
      <c r="H283" s="99"/>
      <c r="I283" s="99">
        <f>+E283</f>
        <v>1941875.9599999972</v>
      </c>
    </row>
    <row r="284" spans="1:9" ht="13.5" thickBot="1" x14ac:dyDescent="0.25">
      <c r="D284" s="122" t="s">
        <v>519</v>
      </c>
      <c r="E284" s="693">
        <f>Resultado!B43</f>
        <v>14202777.719999999</v>
      </c>
      <c r="F284" s="99"/>
      <c r="G284" s="99"/>
      <c r="H284" s="99"/>
      <c r="I284" s="99">
        <f t="shared" ref="I284:I290" si="32">+E284</f>
        <v>14202777.719999999</v>
      </c>
    </row>
    <row r="285" spans="1:9" ht="13.5" thickBot="1" x14ac:dyDescent="0.25">
      <c r="D285" s="122" t="s">
        <v>520</v>
      </c>
      <c r="E285" s="693">
        <f>Resultado!B46</f>
        <v>293139.04999999981</v>
      </c>
      <c r="F285" s="99"/>
      <c r="G285" s="99"/>
      <c r="H285" s="99"/>
      <c r="I285" s="99">
        <f>+E285</f>
        <v>293139.04999999981</v>
      </c>
    </row>
    <row r="286" spans="1:9" ht="13.5" thickBot="1" x14ac:dyDescent="0.25">
      <c r="D286" s="122" t="s">
        <v>521</v>
      </c>
      <c r="E286" s="676">
        <f>Resultado!B38</f>
        <v>962.13999999999942</v>
      </c>
      <c r="F286" s="109"/>
      <c r="G286" s="99"/>
      <c r="H286" s="99"/>
      <c r="I286" s="99">
        <f t="shared" si="32"/>
        <v>962.13999999999942</v>
      </c>
    </row>
    <row r="287" spans="1:9" ht="13.5" thickBot="1" x14ac:dyDescent="0.25">
      <c r="D287" s="122" t="s">
        <v>522</v>
      </c>
      <c r="E287" s="693">
        <f>Resultado!B40</f>
        <v>16691551.030000001</v>
      </c>
      <c r="F287" s="114"/>
      <c r="G287" s="114"/>
      <c r="H287" s="114"/>
      <c r="I287" s="114">
        <f t="shared" si="32"/>
        <v>16691551.030000001</v>
      </c>
    </row>
    <row r="288" spans="1:9" ht="13.5" thickBot="1" x14ac:dyDescent="0.25">
      <c r="D288" s="121" t="s">
        <v>523</v>
      </c>
      <c r="E288" s="693">
        <f>Resultado!B37</f>
        <v>5828066.8099999949</v>
      </c>
      <c r="F288" s="114"/>
      <c r="G288" s="114"/>
      <c r="H288" s="114"/>
      <c r="I288" s="114">
        <f t="shared" si="32"/>
        <v>5828066.8099999949</v>
      </c>
    </row>
    <row r="289" spans="3:10" ht="13.5" thickBot="1" x14ac:dyDescent="0.25">
      <c r="C289" s="122"/>
      <c r="D289" s="122" t="s">
        <v>524</v>
      </c>
      <c r="E289" s="693">
        <f>Resultado!B50</f>
        <v>1442572.25</v>
      </c>
      <c r="F289" s="120"/>
      <c r="G289" s="120"/>
      <c r="H289" s="120"/>
      <c r="I289" s="120">
        <f t="shared" si="32"/>
        <v>1442572.25</v>
      </c>
      <c r="J289" s="91">
        <f>+I289</f>
        <v>1442572.25</v>
      </c>
    </row>
    <row r="290" spans="3:10" ht="13.5" thickBot="1" x14ac:dyDescent="0.25">
      <c r="D290" s="121" t="s">
        <v>525</v>
      </c>
      <c r="E290" s="693">
        <f>Resultado!B51</f>
        <v>1055085.6500000004</v>
      </c>
      <c r="F290" s="99"/>
      <c r="G290" s="99"/>
      <c r="H290" s="99"/>
      <c r="I290" s="99">
        <f t="shared" si="32"/>
        <v>1055085.6500000004</v>
      </c>
    </row>
    <row r="291" spans="3:10" x14ac:dyDescent="0.2">
      <c r="E291" s="111"/>
      <c r="F291" s="99"/>
      <c r="G291" s="99"/>
      <c r="H291" s="99"/>
      <c r="I291" s="99"/>
    </row>
    <row r="294" spans="3:10" ht="15" x14ac:dyDescent="0.25">
      <c r="D294" s="145" t="s">
        <v>526</v>
      </c>
    </row>
    <row r="295" spans="3:10" x14ac:dyDescent="0.2">
      <c r="D295" s="867" t="s">
        <v>527</v>
      </c>
      <c r="E295" s="867"/>
    </row>
    <row r="296" spans="3:10" x14ac:dyDescent="0.2">
      <c r="D296" s="177"/>
      <c r="E296" s="709"/>
    </row>
    <row r="297" spans="3:10" x14ac:dyDescent="0.2">
      <c r="D297" s="867" t="s">
        <v>528</v>
      </c>
      <c r="E297" s="867"/>
    </row>
    <row r="299" spans="3:10" x14ac:dyDescent="0.2">
      <c r="D299" s="86" t="s">
        <v>529</v>
      </c>
    </row>
    <row r="300" spans="3:10" x14ac:dyDescent="0.2">
      <c r="D300" s="146">
        <f>Resultado!B173</f>
        <v>561039667.04999995</v>
      </c>
      <c r="E300" s="89" t="s">
        <v>530</v>
      </c>
      <c r="G300" s="147"/>
      <c r="H300" s="146"/>
    </row>
    <row r="301" spans="3:10" x14ac:dyDescent="0.2">
      <c r="D301" s="146"/>
      <c r="E301" s="89" t="s">
        <v>531</v>
      </c>
      <c r="H301" s="146"/>
      <c r="I301" s="146"/>
    </row>
    <row r="302" spans="3:10" x14ac:dyDescent="0.2">
      <c r="D302" s="460">
        <f>Resultado!B150</f>
        <v>303497586.65000004</v>
      </c>
      <c r="E302" s="89" t="s">
        <v>532</v>
      </c>
      <c r="H302" s="146"/>
    </row>
    <row r="303" spans="3:10" x14ac:dyDescent="0.2">
      <c r="D303" s="148">
        <f>Resultado!B130</f>
        <v>4156258.0099999979</v>
      </c>
      <c r="E303" s="89" t="s">
        <v>533</v>
      </c>
    </row>
    <row r="304" spans="3:10" x14ac:dyDescent="0.2">
      <c r="D304" s="148">
        <f>Resultado!B109</f>
        <v>1037455.4499999993</v>
      </c>
      <c r="E304" s="89" t="s">
        <v>534</v>
      </c>
    </row>
    <row r="305" spans="3:6" x14ac:dyDescent="0.2">
      <c r="D305" s="146">
        <v>0</v>
      </c>
      <c r="E305" s="89" t="s">
        <v>535</v>
      </c>
    </row>
    <row r="306" spans="3:6" x14ac:dyDescent="0.2">
      <c r="D306" s="149">
        <f>+D300-D302-D303-D304+D305</f>
        <v>252348366.93999994</v>
      </c>
    </row>
    <row r="307" spans="3:6" x14ac:dyDescent="0.2">
      <c r="D307" s="149">
        <f>+E8</f>
        <v>252348366.93999991</v>
      </c>
    </row>
    <row r="308" spans="3:6" ht="15" x14ac:dyDescent="0.25">
      <c r="C308" s="86" t="s">
        <v>346</v>
      </c>
      <c r="D308" s="181">
        <f>+D306-D307</f>
        <v>0</v>
      </c>
      <c r="F308" s="146"/>
    </row>
    <row r="309" spans="3:6" x14ac:dyDescent="0.2">
      <c r="D309" s="146"/>
    </row>
    <row r="310" spans="3:6" x14ac:dyDescent="0.2">
      <c r="D310" s="869" t="s">
        <v>536</v>
      </c>
      <c r="E310" s="869"/>
    </row>
    <row r="311" spans="3:6" x14ac:dyDescent="0.2">
      <c r="D311" s="868" t="s">
        <v>537</v>
      </c>
      <c r="E311" s="868"/>
    </row>
    <row r="312" spans="3:6" x14ac:dyDescent="0.2">
      <c r="D312" s="178"/>
    </row>
    <row r="313" spans="3:6" x14ac:dyDescent="0.2">
      <c r="D313" s="146"/>
      <c r="E313" s="149"/>
    </row>
    <row r="314" spans="3:6" x14ac:dyDescent="0.2">
      <c r="D314" s="146"/>
      <c r="E314" s="149"/>
    </row>
    <row r="315" spans="3:6" x14ac:dyDescent="0.2">
      <c r="D315" s="146"/>
      <c r="E315" s="149"/>
    </row>
    <row r="316" spans="3:6" x14ac:dyDescent="0.2">
      <c r="D316" s="146"/>
      <c r="E316" s="149"/>
    </row>
    <row r="317" spans="3:6" x14ac:dyDescent="0.2">
      <c r="D317" s="146"/>
      <c r="E317" s="149"/>
    </row>
    <row r="318" spans="3:6" x14ac:dyDescent="0.2">
      <c r="D318" s="146"/>
    </row>
    <row r="319" spans="3:6" x14ac:dyDescent="0.2">
      <c r="D319" s="146"/>
      <c r="E319" s="710"/>
    </row>
    <row r="320" spans="3:6" x14ac:dyDescent="0.2">
      <c r="D320" s="146"/>
    </row>
    <row r="321" spans="4:4" x14ac:dyDescent="0.2">
      <c r="D321" s="146"/>
    </row>
    <row r="322" spans="4:4" x14ac:dyDescent="0.2">
      <c r="D322" s="146"/>
    </row>
    <row r="323" spans="4:4" x14ac:dyDescent="0.2">
      <c r="D323" s="146"/>
    </row>
    <row r="324" spans="4:4" x14ac:dyDescent="0.2">
      <c r="D324" s="146"/>
    </row>
    <row r="325" spans="4:4" x14ac:dyDescent="0.2">
      <c r="D325" s="146"/>
    </row>
    <row r="326" spans="4:4" x14ac:dyDescent="0.2">
      <c r="D326" s="146"/>
    </row>
    <row r="327" spans="4:4" x14ac:dyDescent="0.2">
      <c r="D327" s="146"/>
    </row>
  </sheetData>
  <mergeCells count="6">
    <mergeCell ref="B15:B17"/>
    <mergeCell ref="H18:I24"/>
    <mergeCell ref="D295:E295"/>
    <mergeCell ref="D297:E297"/>
    <mergeCell ref="D311:E311"/>
    <mergeCell ref="D310:E310"/>
  </mergeCells>
  <pageMargins left="0.7" right="0.7" top="0.75" bottom="0.75" header="0.3" footer="0.3"/>
  <pageSetup scale="62" orientation="landscape" horizontalDpi="300" verticalDpi="300" r:id="rId1"/>
  <rowBreaks count="1" manualBreakCount="1">
    <brk id="61" max="10" man="1"/>
  </rowBreaks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PORTADA</vt:lpstr>
      <vt:lpstr>Hoja1</vt:lpstr>
      <vt:lpstr>Hoja2 - F</vt:lpstr>
      <vt:lpstr>Hoja4 - G</vt:lpstr>
      <vt:lpstr>Hoja3 - H</vt:lpstr>
      <vt:lpstr>Hoja5 - I</vt:lpstr>
      <vt:lpstr>Hoja5 (2)</vt:lpstr>
      <vt:lpstr>Hoja 6 - J</vt:lpstr>
      <vt:lpstr>Calculo</vt:lpstr>
      <vt:lpstr>Resultado</vt:lpstr>
      <vt:lpstr>Situación</vt:lpstr>
      <vt:lpstr>Gráfico1</vt:lpstr>
      <vt:lpstr>Calculo!Print_Area</vt:lpstr>
      <vt:lpstr>'Hoja 6 - J'!Print_Area</vt:lpstr>
      <vt:lpstr>Hoja1!Print_Area</vt:lpstr>
      <vt:lpstr>'Hoja2 - F'!Print_Area</vt:lpstr>
      <vt:lpstr>'Hoja3 - H'!Print_Area</vt:lpstr>
      <vt:lpstr>'Hoja4 - G'!Print_Area</vt:lpstr>
      <vt:lpstr>'Hoja5 - I'!Print_Area</vt:lpstr>
      <vt:lpstr>'Hoja5 (2)'!Print_Area</vt:lpstr>
    </vt:vector>
  </TitlesOfParts>
  <Company>BANCO AGRICOLA DE LA REP. DOM.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BAGRICOLA</dc:creator>
  <cp:lastModifiedBy>Paola Cecilia Juliao Vasquez</cp:lastModifiedBy>
  <cp:lastPrinted>2023-01-11T19:21:38Z</cp:lastPrinted>
  <dcterms:created xsi:type="dcterms:W3CDTF">2003-07-08T18:44:53Z</dcterms:created>
  <dcterms:modified xsi:type="dcterms:W3CDTF">2023-01-26T16:19:35Z</dcterms:modified>
</cp:coreProperties>
</file>