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4 ESTADOS FINANCIEROS\09 SEPTIEMBRE 2024\ENVIO\"/>
    </mc:Choice>
  </mc:AlternateContent>
  <xr:revisionPtr revIDLastSave="0" documentId="13_ncr:1_{3A7BF96B-690E-4999-8BE3-64BCEE39EE62}" xr6:coauthVersionLast="47" xr6:coauthVersionMax="47" xr10:uidLastSave="{00000000-0000-0000-0000-000000000000}"/>
  <bookViews>
    <workbookView xWindow="-120" yWindow="-120" windowWidth="29040" windowHeight="15840" tabRatio="831" firstSheet="1" activeTab="1" xr2:uid="{00000000-000D-0000-FFFF-FFFF00000000}"/>
  </bookViews>
  <sheets>
    <sheet name="7-11" sheetId="1" state="hidden" r:id="rId1"/>
    <sheet name="FLUJO DE EFECTIVO" sheetId="32" r:id="rId2"/>
    <sheet name="Hoja1" sheetId="28" state="hidden" r:id="rId3"/>
    <sheet name="27" sheetId="22" state="hidden" r:id="rId4"/>
    <sheet name="FECHAS" sheetId="36" state="hidden" r:id="rId5"/>
    <sheet name="FECHA" sheetId="18" state="hidden" r:id="rId6"/>
  </sheets>
  <definedNames>
    <definedName name="_xlnm.Print_Area" localSheetId="3">'27'!$A$1:$Q$77</definedName>
    <definedName name="_xlnm.Print_Area" localSheetId="0">'7-11'!$A$1:$D$280</definedName>
    <definedName name="_xlnm.Print_Area" localSheetId="1">'FLUJO DE EFECTIVO'!$A$1:$E$113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32" l="1"/>
  <c r="D17" i="32" l="1"/>
  <c r="C98" i="32" l="1"/>
  <c r="D98" i="32" l="1"/>
  <c r="D100" i="32" s="1"/>
  <c r="D34" i="32"/>
  <c r="C100" i="32" l="1"/>
  <c r="C34" i="32"/>
  <c r="D45" i="32"/>
  <c r="C45" i="32"/>
  <c r="C65" i="32"/>
  <c r="D47" i="32" l="1"/>
  <c r="C47" i="32"/>
  <c r="A3" i="32" l="1"/>
  <c r="B63" i="32" s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  <c r="G55" i="22" l="1"/>
  <c r="G47" i="22"/>
  <c r="F47" i="22"/>
  <c r="F44" i="22"/>
  <c r="F43" i="22"/>
  <c r="F42" i="22"/>
  <c r="AP41" i="22"/>
  <c r="AP38" i="22" s="1"/>
  <c r="AP37" i="22" s="1"/>
  <c r="AO41" i="22"/>
  <c r="AO38" i="22" s="1"/>
  <c r="AO37" i="22" s="1"/>
  <c r="AO31" i="22" s="1"/>
  <c r="AO25" i="22" s="1"/>
  <c r="AO23" i="22" s="1"/>
  <c r="AO20" i="22" s="1"/>
  <c r="AO15" i="22" s="1"/>
  <c r="AO13" i="22" s="1"/>
  <c r="AO8" i="22" s="1"/>
  <c r="AO45" i="22" s="1"/>
  <c r="AO49" i="22" s="1"/>
  <c r="AN41" i="22"/>
  <c r="AN38" i="22" s="1"/>
  <c r="AN37" i="22" s="1"/>
  <c r="AN31" i="22" s="1"/>
  <c r="AN25" i="22" s="1"/>
  <c r="AN23" i="22" s="1"/>
  <c r="AN20" i="22" s="1"/>
  <c r="AN15" i="22" s="1"/>
  <c r="AN13" i="22" s="1"/>
  <c r="AN8" i="22" s="1"/>
  <c r="AN45" i="22" s="1"/>
  <c r="AN49" i="22" s="1"/>
  <c r="AM41" i="22"/>
  <c r="AL41" i="22"/>
  <c r="AK41" i="22"/>
  <c r="AK38" i="22" s="1"/>
  <c r="AK37" i="22" s="1"/>
  <c r="AJ41" i="22"/>
  <c r="AJ38" i="22" s="1"/>
  <c r="AJ37" i="22" s="1"/>
  <c r="AI41" i="22"/>
  <c r="AH41" i="22"/>
  <c r="AH38" i="22" s="1"/>
  <c r="AH37" i="22" s="1"/>
  <c r="AG41" i="22"/>
  <c r="AG38" i="22" s="1"/>
  <c r="AG37" i="22" s="1"/>
  <c r="AF41" i="22"/>
  <c r="AE41" i="22"/>
  <c r="AD41" i="22"/>
  <c r="AC41" i="22"/>
  <c r="AC38" i="22" s="1"/>
  <c r="AC37" i="22" s="1"/>
  <c r="AC31" i="22" s="1"/>
  <c r="AC25" i="22" s="1"/>
  <c r="AC23" i="22" s="1"/>
  <c r="AC20" i="22" s="1"/>
  <c r="AC15" i="22" s="1"/>
  <c r="AC13" i="22" s="1"/>
  <c r="AC8" i="22" s="1"/>
  <c r="AC45" i="22" s="1"/>
  <c r="AC49" i="22" s="1"/>
  <c r="AB41" i="22"/>
  <c r="AB38" i="22" s="1"/>
  <c r="AB37" i="22" s="1"/>
  <c r="AB31" i="22" s="1"/>
  <c r="AB25" i="22" s="1"/>
  <c r="AB23" i="22" s="1"/>
  <c r="AB20" i="22" s="1"/>
  <c r="AB15" i="22" s="1"/>
  <c r="AB13" i="22" s="1"/>
  <c r="AB8" i="22" s="1"/>
  <c r="AB45" i="22" s="1"/>
  <c r="AB49" i="22" s="1"/>
  <c r="AA41" i="22"/>
  <c r="Z41" i="22"/>
  <c r="Y41" i="22"/>
  <c r="Y38" i="22" s="1"/>
  <c r="Y37" i="22" s="1"/>
  <c r="X41" i="22"/>
  <c r="X38" i="22" s="1"/>
  <c r="X37" i="22" s="1"/>
  <c r="W41" i="22"/>
  <c r="V41" i="22"/>
  <c r="V38" i="22" s="1"/>
  <c r="V37" i="22" s="1"/>
  <c r="U41" i="22"/>
  <c r="T41" i="22"/>
  <c r="S41" i="22"/>
  <c r="R41" i="22"/>
  <c r="R38" i="22" s="1"/>
  <c r="R37" i="22" s="1"/>
  <c r="R31" i="22" s="1"/>
  <c r="R25" i="22" s="1"/>
  <c r="R23" i="22" s="1"/>
  <c r="R20" i="22" s="1"/>
  <c r="R15" i="22" s="1"/>
  <c r="R13" i="22" s="1"/>
  <c r="R8" i="22" s="1"/>
  <c r="R45" i="22" s="1"/>
  <c r="R49" i="22" s="1"/>
  <c r="F41" i="22"/>
  <c r="F40" i="22"/>
  <c r="F39" i="22"/>
  <c r="AM38" i="22"/>
  <c r="AM37" i="22" s="1"/>
  <c r="AL38" i="22"/>
  <c r="AL37" i="22" s="1"/>
  <c r="AL31" i="22" s="1"/>
  <c r="AL25" i="22" s="1"/>
  <c r="AL23" i="22" s="1"/>
  <c r="AL20" i="22" s="1"/>
  <c r="AL15" i="22" s="1"/>
  <c r="AL13" i="22" s="1"/>
  <c r="AL8" i="22" s="1"/>
  <c r="AL45" i="22" s="1"/>
  <c r="AL49" i="22" s="1"/>
  <c r="AI38" i="22"/>
  <c r="AF38" i="22"/>
  <c r="AF37" i="22" s="1"/>
  <c r="AF31" i="22" s="1"/>
  <c r="AF25" i="22" s="1"/>
  <c r="AF23" i="22" s="1"/>
  <c r="AF20" i="22" s="1"/>
  <c r="AF15" i="22" s="1"/>
  <c r="AF13" i="22" s="1"/>
  <c r="AF8" i="22" s="1"/>
  <c r="AF45" i="22" s="1"/>
  <c r="AF49" i="22" s="1"/>
  <c r="AE38" i="22"/>
  <c r="AE37" i="22" s="1"/>
  <c r="AE31" i="22" s="1"/>
  <c r="AE25" i="22" s="1"/>
  <c r="AE23" i="22" s="1"/>
  <c r="AE20" i="22" s="1"/>
  <c r="AE15" i="22" s="1"/>
  <c r="AE13" i="22" s="1"/>
  <c r="AE8" i="22" s="1"/>
  <c r="AE45" i="22" s="1"/>
  <c r="AE49" i="22" s="1"/>
  <c r="AD38" i="22"/>
  <c r="AD37" i="22" s="1"/>
  <c r="AD31" i="22" s="1"/>
  <c r="AD25" i="22" s="1"/>
  <c r="AD23" i="22" s="1"/>
  <c r="AD20" i="22" s="1"/>
  <c r="AD15" i="22" s="1"/>
  <c r="AD13" i="22" s="1"/>
  <c r="AD8" i="22" s="1"/>
  <c r="AD45" i="22" s="1"/>
  <c r="AD49" i="22" s="1"/>
  <c r="AA38" i="22"/>
  <c r="AA37" i="22" s="1"/>
  <c r="Z38" i="22"/>
  <c r="Z37" i="22" s="1"/>
  <c r="U38" i="22"/>
  <c r="U37" i="22" s="1"/>
  <c r="T38" i="22"/>
  <c r="S38" i="22"/>
  <c r="P38" i="22"/>
  <c r="K38" i="22"/>
  <c r="J38" i="22"/>
  <c r="I38" i="22"/>
  <c r="H38" i="22"/>
  <c r="E38" i="22"/>
  <c r="E34" i="22" s="1"/>
  <c r="D38" i="22"/>
  <c r="C38" i="22"/>
  <c r="B38" i="22"/>
  <c r="AI37" i="22"/>
  <c r="T37" i="22"/>
  <c r="S37" i="22"/>
  <c r="F37" i="22"/>
  <c r="F36" i="22"/>
  <c r="F35" i="22"/>
  <c r="AP33" i="22"/>
  <c r="AO33" i="22"/>
  <c r="AN33" i="22"/>
  <c r="AM33" i="22"/>
  <c r="AL33" i="22"/>
  <c r="AK33" i="22"/>
  <c r="AJ33" i="22"/>
  <c r="AJ31" i="22" s="1"/>
  <c r="AJ25" i="22" s="1"/>
  <c r="AJ23" i="22" s="1"/>
  <c r="AJ20" i="22" s="1"/>
  <c r="AJ15" i="22" s="1"/>
  <c r="AJ13" i="22" s="1"/>
  <c r="AJ8" i="22" s="1"/>
  <c r="AJ45" i="22" s="1"/>
  <c r="AJ49" i="22" s="1"/>
  <c r="AI33" i="22"/>
  <c r="AI31" i="22" s="1"/>
  <c r="AI25" i="22" s="1"/>
  <c r="AI23" i="22" s="1"/>
  <c r="AI20" i="22" s="1"/>
  <c r="AI15" i="22" s="1"/>
  <c r="AI13" i="22" s="1"/>
  <c r="AI8" i="22" s="1"/>
  <c r="AI45" i="22" s="1"/>
  <c r="AI49" i="22" s="1"/>
  <c r="AH33" i="22"/>
  <c r="AH31" i="22" s="1"/>
  <c r="AH25" i="22" s="1"/>
  <c r="AH23" i="22" s="1"/>
  <c r="AH20" i="22" s="1"/>
  <c r="AH15" i="22" s="1"/>
  <c r="AH13" i="22" s="1"/>
  <c r="AH8" i="22" s="1"/>
  <c r="AH45" i="22" s="1"/>
  <c r="AH49" i="22" s="1"/>
  <c r="AG33" i="22"/>
  <c r="AG31" i="22" s="1"/>
  <c r="AG25" i="22" s="1"/>
  <c r="AG23" i="22" s="1"/>
  <c r="AG20" i="22" s="1"/>
  <c r="AG15" i="22" s="1"/>
  <c r="AG13" i="22" s="1"/>
  <c r="AG8" i="22" s="1"/>
  <c r="AG45" i="22" s="1"/>
  <c r="AG49" i="22" s="1"/>
  <c r="AF33" i="22"/>
  <c r="AE33" i="22"/>
  <c r="AD33" i="22"/>
  <c r="AC33" i="22"/>
  <c r="AB33" i="22"/>
  <c r="AA33" i="22"/>
  <c r="Z33" i="22"/>
  <c r="Y33" i="22"/>
  <c r="X33" i="22"/>
  <c r="X31" i="22" s="1"/>
  <c r="X25" i="22" s="1"/>
  <c r="X23" i="22" s="1"/>
  <c r="X20" i="22" s="1"/>
  <c r="X15" i="22" s="1"/>
  <c r="X13" i="22" s="1"/>
  <c r="X8" i="22" s="1"/>
  <c r="X45" i="22" s="1"/>
  <c r="X49" i="22" s="1"/>
  <c r="V33" i="22"/>
  <c r="V31" i="22" s="1"/>
  <c r="V25" i="22" s="1"/>
  <c r="V23" i="22" s="1"/>
  <c r="V20" i="22" s="1"/>
  <c r="V15" i="22" s="1"/>
  <c r="V13" i="22" s="1"/>
  <c r="V8" i="22" s="1"/>
  <c r="V45" i="22" s="1"/>
  <c r="V49" i="22" s="1"/>
  <c r="U33" i="22"/>
  <c r="U31" i="22" s="1"/>
  <c r="U25" i="22" s="1"/>
  <c r="U23" i="22" s="1"/>
  <c r="U20" i="22" s="1"/>
  <c r="U15" i="22" s="1"/>
  <c r="U13" i="22" s="1"/>
  <c r="U8" i="22" s="1"/>
  <c r="U45" i="22" s="1"/>
  <c r="U49" i="22" s="1"/>
  <c r="S33" i="22"/>
  <c r="S31" i="22" s="1"/>
  <c r="S25" i="22" s="1"/>
  <c r="S23" i="22" s="1"/>
  <c r="S20" i="22" s="1"/>
  <c r="S15" i="22" s="1"/>
  <c r="S13" i="22" s="1"/>
  <c r="R33" i="22"/>
  <c r="F33" i="22"/>
  <c r="F32" i="22"/>
  <c r="P31" i="22"/>
  <c r="J31" i="22"/>
  <c r="I31" i="22"/>
  <c r="H31" i="22"/>
  <c r="D31" i="22"/>
  <c r="C31" i="22"/>
  <c r="B31" i="22"/>
  <c r="F30" i="22"/>
  <c r="F29" i="22"/>
  <c r="F28" i="22"/>
  <c r="F27" i="22"/>
  <c r="F26" i="22"/>
  <c r="F25" i="22"/>
  <c r="F24" i="22"/>
  <c r="P23" i="22"/>
  <c r="K23" i="22"/>
  <c r="J23" i="22"/>
  <c r="I23" i="22"/>
  <c r="H23" i="22"/>
  <c r="E23" i="22"/>
  <c r="D23" i="22"/>
  <c r="C23" i="22"/>
  <c r="B23" i="22"/>
  <c r="F22" i="22"/>
  <c r="F21" i="22"/>
  <c r="F20" i="22"/>
  <c r="F19" i="22"/>
  <c r="F18" i="22"/>
  <c r="F17" i="22"/>
  <c r="F16" i="22"/>
  <c r="P15" i="22"/>
  <c r="J15" i="22"/>
  <c r="I15" i="22"/>
  <c r="H15" i="22"/>
  <c r="E15" i="22"/>
  <c r="D15" i="22"/>
  <c r="C15" i="22"/>
  <c r="B15" i="22"/>
  <c r="F14" i="22"/>
  <c r="F13" i="22"/>
  <c r="F12" i="22"/>
  <c r="F11" i="22"/>
  <c r="F10" i="22"/>
  <c r="F9" i="22"/>
  <c r="P8" i="22"/>
  <c r="K8" i="22"/>
  <c r="J8" i="22"/>
  <c r="I8" i="22"/>
  <c r="H8" i="22"/>
  <c r="E8" i="22"/>
  <c r="D8" i="22"/>
  <c r="C8" i="22"/>
  <c r="B8" i="22"/>
  <c r="B45" i="22" s="1"/>
  <c r="B49" i="22" s="1"/>
  <c r="F34" i="22" l="1"/>
  <c r="E31" i="22"/>
  <c r="AP31" i="22"/>
  <c r="AP25" i="22" s="1"/>
  <c r="AP23" i="22" s="1"/>
  <c r="AP20" i="22" s="1"/>
  <c r="AP15" i="22" s="1"/>
  <c r="AP13" i="22" s="1"/>
  <c r="AP8" i="22" s="1"/>
  <c r="AP45" i="22" s="1"/>
  <c r="AP49" i="22" s="1"/>
  <c r="E45" i="22"/>
  <c r="E49" i="22" s="1"/>
  <c r="H45" i="22"/>
  <c r="H49" i="22" s="1"/>
  <c r="I45" i="22"/>
  <c r="I49" i="22" s="1"/>
  <c r="F38" i="22"/>
  <c r="K45" i="22"/>
  <c r="K49" i="22" s="1"/>
  <c r="AM31" i="22"/>
  <c r="AM25" i="22" s="1"/>
  <c r="AM23" i="22" s="1"/>
  <c r="AM20" i="22" s="1"/>
  <c r="AM15" i="22" s="1"/>
  <c r="AM13" i="22" s="1"/>
  <c r="AM8" i="22" s="1"/>
  <c r="AM45" i="22" s="1"/>
  <c r="AM49" i="22" s="1"/>
  <c r="P45" i="22"/>
  <c r="P49" i="22" s="1"/>
  <c r="AQ11" i="22" s="1"/>
  <c r="Z31" i="22"/>
  <c r="Z25" i="22" s="1"/>
  <c r="Z23" i="22" s="1"/>
  <c r="Z20" i="22" s="1"/>
  <c r="Z15" i="22" s="1"/>
  <c r="Z13" i="22" s="1"/>
  <c r="Z8" i="22" s="1"/>
  <c r="Z45" i="22" s="1"/>
  <c r="Z49" i="22" s="1"/>
  <c r="F23" i="22"/>
  <c r="AA31" i="22"/>
  <c r="AA25" i="22" s="1"/>
  <c r="AA23" i="22" s="1"/>
  <c r="AA20" i="22" s="1"/>
  <c r="AA15" i="22" s="1"/>
  <c r="AA13" i="22" s="1"/>
  <c r="AA8" i="22" s="1"/>
  <c r="AA45" i="22" s="1"/>
  <c r="AA49" i="22" s="1"/>
  <c r="Y31" i="22"/>
  <c r="Y25" i="22" s="1"/>
  <c r="Y23" i="22" s="1"/>
  <c r="Y20" i="22" s="1"/>
  <c r="Y15" i="22" s="1"/>
  <c r="Y13" i="22" s="1"/>
  <c r="Y8" i="22" s="1"/>
  <c r="Y45" i="22" s="1"/>
  <c r="Y49" i="22" s="1"/>
  <c r="AK31" i="22"/>
  <c r="AK25" i="22" s="1"/>
  <c r="AK23" i="22" s="1"/>
  <c r="AK20" i="22" s="1"/>
  <c r="AK15" i="22" s="1"/>
  <c r="AK13" i="22" s="1"/>
  <c r="AK8" i="22" s="1"/>
  <c r="AK45" i="22" s="1"/>
  <c r="AK49" i="22" s="1"/>
  <c r="J45" i="22"/>
  <c r="J49" i="22" s="1"/>
  <c r="C45" i="22"/>
  <c r="C49" i="22" s="1"/>
  <c r="D45" i="22"/>
  <c r="D49" i="22" s="1"/>
  <c r="F15" i="22"/>
  <c r="AQ19" i="22"/>
  <c r="G13" i="22"/>
  <c r="G16" i="22"/>
  <c r="AQ12" i="22"/>
  <c r="G36" i="22"/>
  <c r="AQ34" i="22"/>
  <c r="AQ35" i="22"/>
  <c r="AQ22" i="22"/>
  <c r="AQ14" i="22"/>
  <c r="AQ9" i="22"/>
  <c r="F31" i="22"/>
  <c r="F8" i="22"/>
  <c r="L47" i="22"/>
  <c r="N47" i="22" s="1"/>
  <c r="G37" i="22" l="1"/>
  <c r="AQ28" i="22"/>
  <c r="G26" i="22"/>
  <c r="G32" i="22"/>
  <c r="G17" i="22"/>
  <c r="Q17" i="22" s="1"/>
  <c r="AQ29" i="22"/>
  <c r="G40" i="22"/>
  <c r="L40" i="22" s="1"/>
  <c r="M40" i="22" s="1"/>
  <c r="G30" i="22"/>
  <c r="G41" i="22"/>
  <c r="AQ39" i="22"/>
  <c r="AQ38" i="22" s="1"/>
  <c r="AQ16" i="22"/>
  <c r="Q16" i="22" s="1"/>
  <c r="AQ30" i="22"/>
  <c r="Q30" i="22" s="1"/>
  <c r="G24" i="22"/>
  <c r="AQ37" i="22"/>
  <c r="AQ36" i="22"/>
  <c r="G42" i="22"/>
  <c r="AQ10" i="22"/>
  <c r="AQ8" i="22" s="1"/>
  <c r="G11" i="22"/>
  <c r="W11" i="22" s="1"/>
  <c r="G18" i="22"/>
  <c r="Q18" i="22" s="1"/>
  <c r="AQ33" i="22"/>
  <c r="G33" i="22"/>
  <c r="Q33" i="22" s="1"/>
  <c r="AQ43" i="22"/>
  <c r="G25" i="22"/>
  <c r="L25" i="22" s="1"/>
  <c r="M25" i="22" s="1"/>
  <c r="G12" i="22"/>
  <c r="W12" i="22" s="1"/>
  <c r="AQ25" i="22"/>
  <c r="G39" i="22"/>
  <c r="G27" i="22"/>
  <c r="G20" i="22"/>
  <c r="AQ26" i="22"/>
  <c r="G43" i="22"/>
  <c r="L43" i="22" s="1"/>
  <c r="M43" i="22" s="1"/>
  <c r="AQ20" i="22"/>
  <c r="AQ32" i="22"/>
  <c r="AQ17" i="22"/>
  <c r="G21" i="22"/>
  <c r="W21" i="22" s="1"/>
  <c r="AQ27" i="22"/>
  <c r="G22" i="22"/>
  <c r="L22" i="22" s="1"/>
  <c r="M22" i="22" s="1"/>
  <c r="AQ18" i="22"/>
  <c r="G19" i="22"/>
  <c r="G28" i="22"/>
  <c r="G9" i="22"/>
  <c r="G34" i="22"/>
  <c r="G31" i="22" s="1"/>
  <c r="AQ44" i="22"/>
  <c r="Q44" i="22" s="1"/>
  <c r="G29" i="22"/>
  <c r="AQ42" i="22"/>
  <c r="AQ13" i="22"/>
  <c r="Q13" i="22" s="1"/>
  <c r="AQ24" i="22"/>
  <c r="AQ23" i="22" s="1"/>
  <c r="AQ40" i="22"/>
  <c r="Q40" i="22" s="1"/>
  <c r="G14" i="22"/>
  <c r="Q14" i="22" s="1"/>
  <c r="AQ41" i="22"/>
  <c r="G44" i="22"/>
  <c r="G10" i="22"/>
  <c r="AQ21" i="22"/>
  <c r="G35" i="22"/>
  <c r="S10" i="22"/>
  <c r="S8" i="22" s="1"/>
  <c r="S45" i="22" s="1"/>
  <c r="S49" i="22" s="1"/>
  <c r="N49" i="22"/>
  <c r="W28" i="22"/>
  <c r="Q28" i="22"/>
  <c r="L28" i="22"/>
  <c r="M28" i="22" s="1"/>
  <c r="L42" i="22"/>
  <c r="M42" i="22" s="1"/>
  <c r="Q42" i="22"/>
  <c r="W24" i="22"/>
  <c r="Q24" i="22"/>
  <c r="L24" i="22"/>
  <c r="L18" i="22"/>
  <c r="M18" i="22" s="1"/>
  <c r="W32" i="22"/>
  <c r="Q32" i="22"/>
  <c r="L32" i="22"/>
  <c r="Q10" i="22"/>
  <c r="L10" i="22"/>
  <c r="M10" i="22" s="1"/>
  <c r="W10" i="22"/>
  <c r="Q27" i="22"/>
  <c r="L27" i="22"/>
  <c r="M27" i="22" s="1"/>
  <c r="W27" i="22"/>
  <c r="L33" i="22"/>
  <c r="M33" i="22" s="1"/>
  <c r="L13" i="22"/>
  <c r="M13" i="22" s="1"/>
  <c r="Q20" i="22"/>
  <c r="L20" i="22"/>
  <c r="M20" i="22" s="1"/>
  <c r="Q26" i="22"/>
  <c r="L26" i="22"/>
  <c r="M26" i="22" s="1"/>
  <c r="W26" i="22"/>
  <c r="L35" i="22"/>
  <c r="M35" i="22" s="1"/>
  <c r="W35" i="22"/>
  <c r="Q35" i="22"/>
  <c r="L21" i="22"/>
  <c r="M21" i="22" s="1"/>
  <c r="Q36" i="22"/>
  <c r="L36" i="22"/>
  <c r="M36" i="22" s="1"/>
  <c r="W36" i="22"/>
  <c r="Q9" i="22"/>
  <c r="L9" i="22"/>
  <c r="G8" i="22"/>
  <c r="W9" i="22"/>
  <c r="L30" i="22"/>
  <c r="M30" i="22" s="1"/>
  <c r="W30" i="22"/>
  <c r="L44" i="22"/>
  <c r="M44" i="22" s="1"/>
  <c r="Q41" i="22"/>
  <c r="L41" i="22"/>
  <c r="M41" i="22" s="1"/>
  <c r="W29" i="22"/>
  <c r="Q29" i="22"/>
  <c r="L29" i="22"/>
  <c r="M29" i="22" s="1"/>
  <c r="W19" i="22"/>
  <c r="Q19" i="22"/>
  <c r="L19" i="22"/>
  <c r="M19" i="22" s="1"/>
  <c r="AQ31" i="22"/>
  <c r="F45" i="22"/>
  <c r="F49" i="22" s="1"/>
  <c r="Q37" i="22"/>
  <c r="L37" i="22"/>
  <c r="M37" i="22" s="1"/>
  <c r="L39" i="22"/>
  <c r="G38" i="22"/>
  <c r="W39" i="22"/>
  <c r="W38" i="22" s="1"/>
  <c r="W37" i="22" s="1"/>
  <c r="L16" i="22"/>
  <c r="W16" i="22"/>
  <c r="L34" i="22"/>
  <c r="M34" i="22" s="1"/>
  <c r="W34" i="22"/>
  <c r="Q34" i="22"/>
  <c r="L12" i="22" l="1"/>
  <c r="M12" i="22" s="1"/>
  <c r="L11" i="22"/>
  <c r="M11" i="22" s="1"/>
  <c r="Q12" i="22"/>
  <c r="Q22" i="22"/>
  <c r="L14" i="22"/>
  <c r="M14" i="22" s="1"/>
  <c r="Q39" i="22"/>
  <c r="Q11" i="22"/>
  <c r="W22" i="22"/>
  <c r="G23" i="22"/>
  <c r="Q43" i="22"/>
  <c r="Q38" i="22" s="1"/>
  <c r="AQ15" i="22"/>
  <c r="AQ45" i="22" s="1"/>
  <c r="AQ49" i="22" s="1"/>
  <c r="Q25" i="22"/>
  <c r="W17" i="22"/>
  <c r="W18" i="22"/>
  <c r="G15" i="22"/>
  <c r="G45" i="22" s="1"/>
  <c r="G49" i="22" s="1"/>
  <c r="Q21" i="22"/>
  <c r="Q15" i="22" s="1"/>
  <c r="L17" i="22"/>
  <c r="M17" i="22" s="1"/>
  <c r="T19" i="22"/>
  <c r="T30" i="22"/>
  <c r="T36" i="22"/>
  <c r="T18" i="22"/>
  <c r="T34" i="22"/>
  <c r="T33" i="22" s="1"/>
  <c r="T17" i="22"/>
  <c r="T27" i="22"/>
  <c r="L23" i="22"/>
  <c r="M24" i="22"/>
  <c r="T21" i="22"/>
  <c r="Q23" i="22"/>
  <c r="M9" i="22"/>
  <c r="T28" i="22"/>
  <c r="T29" i="22"/>
  <c r="Q8" i="22"/>
  <c r="T12" i="22"/>
  <c r="T10" i="22"/>
  <c r="M16" i="22"/>
  <c r="L38" i="22"/>
  <c r="M39" i="22"/>
  <c r="T11" i="22"/>
  <c r="T35" i="22"/>
  <c r="T26" i="22"/>
  <c r="L31" i="22"/>
  <c r="M32" i="22"/>
  <c r="T22" i="22"/>
  <c r="N19" i="22"/>
  <c r="O19" i="22" s="1"/>
  <c r="N24" i="22"/>
  <c r="N34" i="22"/>
  <c r="O34" i="22" s="1"/>
  <c r="N35" i="22"/>
  <c r="O35" i="22" s="1"/>
  <c r="N26" i="22"/>
  <c r="O26" i="22" s="1"/>
  <c r="N9" i="22"/>
  <c r="N11" i="22"/>
  <c r="O11" i="22" s="1"/>
  <c r="N33" i="22"/>
  <c r="O33" i="22" s="1"/>
  <c r="N40" i="22"/>
  <c r="O40" i="22" s="1"/>
  <c r="N37" i="22"/>
  <c r="O37" i="22" s="1"/>
  <c r="N29" i="22"/>
  <c r="O29" i="22" s="1"/>
  <c r="N15" i="22"/>
  <c r="N43" i="22"/>
  <c r="O43" i="22" s="1"/>
  <c r="N25" i="22"/>
  <c r="O25" i="22" s="1"/>
  <c r="N20" i="22"/>
  <c r="O20" i="22" s="1"/>
  <c r="N21" i="22"/>
  <c r="O21" i="22" s="1"/>
  <c r="N22" i="22"/>
  <c r="O22" i="22" s="1"/>
  <c r="N17" i="22"/>
  <c r="O17" i="22" s="1"/>
  <c r="N27" i="22"/>
  <c r="O27" i="22" s="1"/>
  <c r="N32" i="22"/>
  <c r="N12" i="22"/>
  <c r="O12" i="22" s="1"/>
  <c r="N41" i="22"/>
  <c r="O41" i="22" s="1"/>
  <c r="N10" i="22"/>
  <c r="O10" i="22" s="1"/>
  <c r="N30" i="22"/>
  <c r="O30" i="22" s="1"/>
  <c r="N16" i="22"/>
  <c r="N39" i="22"/>
  <c r="N14" i="22"/>
  <c r="N42" i="22"/>
  <c r="O42" i="22" s="1"/>
  <c r="N18" i="22"/>
  <c r="O18" i="22" s="1"/>
  <c r="N13" i="22"/>
  <c r="O13" i="22" s="1"/>
  <c r="N36" i="22"/>
  <c r="O36" i="22" s="1"/>
  <c r="N28" i="22"/>
  <c r="O28" i="22" s="1"/>
  <c r="N44" i="22"/>
  <c r="O44" i="22" s="1"/>
  <c r="W33" i="22"/>
  <c r="W31" i="22" s="1"/>
  <c r="W25" i="22" s="1"/>
  <c r="W23" i="22" s="1"/>
  <c r="W20" i="22" s="1"/>
  <c r="W15" i="22" s="1"/>
  <c r="W13" i="22" s="1"/>
  <c r="W8" i="22" s="1"/>
  <c r="W45" i="22" s="1"/>
  <c r="W49" i="22" s="1"/>
  <c r="Q31" i="22"/>
  <c r="L8" i="22" l="1"/>
  <c r="O14" i="22"/>
  <c r="L15" i="22"/>
  <c r="T32" i="22"/>
  <c r="T31" i="22" s="1"/>
  <c r="O32" i="22"/>
  <c r="O31" i="22" s="1"/>
  <c r="M31" i="22"/>
  <c r="T25" i="22"/>
  <c r="O39" i="22"/>
  <c r="O38" i="22" s="1"/>
  <c r="M38" i="22"/>
  <c r="N31" i="22"/>
  <c r="N8" i="22"/>
  <c r="N45" i="22" s="1"/>
  <c r="T16" i="22"/>
  <c r="O16" i="22"/>
  <c r="O15" i="22" s="1"/>
  <c r="M15" i="22"/>
  <c r="T24" i="22"/>
  <c r="O24" i="22"/>
  <c r="O23" i="22" s="1"/>
  <c r="M23" i="22"/>
  <c r="O9" i="22"/>
  <c r="O8" i="22" s="1"/>
  <c r="M8" i="22"/>
  <c r="T9" i="22"/>
  <c r="L45" i="22"/>
  <c r="L49" i="22" s="1"/>
  <c r="N38" i="22"/>
  <c r="N23" i="22"/>
  <c r="Q45" i="22"/>
  <c r="Q49" i="22" s="1"/>
  <c r="O45" i="22" l="1"/>
  <c r="O49" i="22" s="1"/>
  <c r="M45" i="22"/>
  <c r="T23" i="22"/>
  <c r="T20" i="22" s="1"/>
  <c r="T15" i="22" s="1"/>
  <c r="T13" i="22" s="1"/>
  <c r="T8" i="22" s="1"/>
  <c r="T45" i="22" s="1"/>
  <c r="T49" i="22" s="1"/>
  <c r="C80" i="1" l="1"/>
  <c r="B4" i="1" l="1"/>
  <c r="B224" i="1" l="1"/>
  <c r="B164" i="1"/>
  <c r="B111" i="1"/>
  <c r="B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Edwin Liriano</author>
  </authors>
  <commentList>
    <comment ref="G47" authorId="0" shapeId="0" xr:uid="{00000000-0006-0000-1300-000001000000}">
      <text>
        <r>
          <rPr>
            <sz val="9"/>
            <color indexed="81"/>
            <rFont val="Tahoma"/>
            <family val="2"/>
          </rPr>
          <t>sumatoria CTA. CONT. 513+517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55" authorId="0" shapeId="0" xr:uid="{00000000-0006-0000-1300-000002000000}">
      <text>
        <r>
          <rPr>
            <sz val="9"/>
            <color indexed="81"/>
            <rFont val="Tahoma"/>
            <family val="2"/>
          </rPr>
          <t xml:space="preserve">Poner gasto financiero de las siguientes Ctas. Contable: 511.03+512.03.1.03+511.02.1.03
</t>
        </r>
      </text>
    </comment>
  </commentList>
</comments>
</file>

<file path=xl/sharedStrings.xml><?xml version="1.0" encoding="utf-8"?>
<sst xmlns="http://schemas.openxmlformats.org/spreadsheetml/2006/main" count="911" uniqueCount="623">
  <si>
    <t>BANCO AGRICOLA DE LA REPUBLICA DOMINICANA</t>
  </si>
  <si>
    <t xml:space="preserve"> ESTADO DE  SITUACION FINANCIERA CONSOLIDADO </t>
  </si>
  <si>
    <t>(VALORES EN RD$)</t>
  </si>
  <si>
    <t>ACTIVOS</t>
  </si>
  <si>
    <t>TOTAL ACTIVOS</t>
  </si>
  <si>
    <t>PASIVOS</t>
  </si>
  <si>
    <t>VALORES EN PODER DEL PUBLICO</t>
  </si>
  <si>
    <t>ENTIDADES DE INTERMEDIACION FINANCIERA</t>
  </si>
  <si>
    <t xml:space="preserve"> Certificados Financieros</t>
  </si>
  <si>
    <t>OTRAS INVERSIONES EN INSTRUMENTOS FINANCIEROS</t>
  </si>
  <si>
    <t xml:space="preserve"> Titulos Valores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</si>
  <si>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</si>
  <si>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</si>
  <si>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</si>
  <si>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</si>
  <si>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</si>
  <si>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</si>
  <si>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</si>
  <si>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</si>
  <si>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PATRIMONIO</t>
  </si>
  <si>
    <t>SUCURSALES</t>
  </si>
  <si>
    <t>REGIONAL 01</t>
  </si>
  <si>
    <t>SANTO DOMINGO</t>
  </si>
  <si>
    <t>HIGUEY</t>
  </si>
  <si>
    <t>SAN CRISTOBAL</t>
  </si>
  <si>
    <t>EL SEIBO</t>
  </si>
  <si>
    <t>HATO MAYOR</t>
  </si>
  <si>
    <t>MONTE PLATA</t>
  </si>
  <si>
    <t>REGIONAL 02</t>
  </si>
  <si>
    <t>BARAHONA</t>
  </si>
  <si>
    <t>COMENDADOR</t>
  </si>
  <si>
    <t>SAN JOSE DE OCOA</t>
  </si>
  <si>
    <t>AZUA</t>
  </si>
  <si>
    <t>BANI</t>
  </si>
  <si>
    <t>NEYBA</t>
  </si>
  <si>
    <t>REGIONAL 03</t>
  </si>
  <si>
    <t>SAN FCO. MACORIS</t>
  </si>
  <si>
    <t>COTUI</t>
  </si>
  <si>
    <t>NAGUA</t>
  </si>
  <si>
    <t>ARENOSO</t>
  </si>
  <si>
    <t>SAMANA</t>
  </si>
  <si>
    <t>RIO SAN JUAN</t>
  </si>
  <si>
    <t>VILLA RIVA</t>
  </si>
  <si>
    <t>REGIONAL 04</t>
  </si>
  <si>
    <t>LA VEGA</t>
  </si>
  <si>
    <t>SANTIAGO</t>
  </si>
  <si>
    <t>MOCA</t>
  </si>
  <si>
    <t>BONAO</t>
  </si>
  <si>
    <t>SALCEDO</t>
  </si>
  <si>
    <t>CONSTANZA</t>
  </si>
  <si>
    <t>REGIONAL 05</t>
  </si>
  <si>
    <t>SANTIAGO RODRIGUEZ</t>
  </si>
  <si>
    <t>MONTECRISTY</t>
  </si>
  <si>
    <t>PUERTO PLATA</t>
  </si>
  <si>
    <t>VALVERDE-MAO</t>
  </si>
  <si>
    <t>DAJABON</t>
  </si>
  <si>
    <t>SAN JOSE DE LAS MATAS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</si>
  <si>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</si>
  <si>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</si>
  <si>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</si>
  <si>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</si>
  <si>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</si>
  <si>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</si>
  <si>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</si>
  <si>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</si>
  <si>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</si>
  <si>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TOTAL</t>
  </si>
  <si>
    <t>OTROS</t>
  </si>
  <si>
    <t>7 . 11</t>
  </si>
  <si>
    <t>12 . 15</t>
  </si>
  <si>
    <t>16 . 19</t>
  </si>
  <si>
    <t>DISPONIBILIDADES</t>
  </si>
  <si>
    <t xml:space="preserve"> EFECTIVO</t>
  </si>
  <si>
    <t xml:space="preserve">  Billetes y Monedas en Caja</t>
  </si>
  <si>
    <t xml:space="preserve">   En Poder de Cajeros</t>
  </si>
  <si>
    <t xml:space="preserve">   En Caja Chica</t>
  </si>
  <si>
    <t xml:space="preserve"> EFECTIVO EN TRANSITO</t>
  </si>
  <si>
    <t xml:space="preserve"> DEPOSITOS EN EL B.C.R.D.</t>
  </si>
  <si>
    <t xml:space="preserve">  Cuenta Corriente para Encaje Legal</t>
  </si>
  <si>
    <t xml:space="preserve">  Cuenta Corriente Regular</t>
  </si>
  <si>
    <t>DEPOSITOS A LA VISTA EN INST. FINANCIERAS DEL PAIS</t>
  </si>
  <si>
    <t>DISPONIBILIDADES RESTRINGIDAS</t>
  </si>
  <si>
    <t xml:space="preserve">  Depósitos a la Vista</t>
  </si>
  <si>
    <t>CARTERA DE CREDITO</t>
  </si>
  <si>
    <t xml:space="preserve"> Créditos Vigentes</t>
  </si>
  <si>
    <t xml:space="preserve"> Créditos Vencidos de 31 a 90 días</t>
  </si>
  <si>
    <t xml:space="preserve"> Créditos Vencidos por más de 90 días</t>
  </si>
  <si>
    <t xml:space="preserve"> Créditos Reestructurados</t>
  </si>
  <si>
    <t xml:space="preserve"> Créditos en Cobranza Judicial</t>
  </si>
  <si>
    <t xml:space="preserve"> Rendimientos por Cobrar</t>
  </si>
  <si>
    <t xml:space="preserve"> Provisiones para Créditos</t>
  </si>
  <si>
    <t>INVERSIONES</t>
  </si>
  <si>
    <t xml:space="preserve">  Otros Títulos valores de deuda emitidos por el Bancentral</t>
  </si>
  <si>
    <t>BONOS Y OBLIGACIONES</t>
  </si>
  <si>
    <t xml:space="preserve">  Inversiones en Valores Disponibles para la Venta</t>
  </si>
  <si>
    <t>PARTICIPACIONES EN OTRAS EMPRESAS</t>
  </si>
  <si>
    <t xml:space="preserve">  Inversiones en Valores Mantenidas</t>
  </si>
  <si>
    <t>RENDIMIENTOS POR COBRAR POR INVERSIONES</t>
  </si>
  <si>
    <t xml:space="preserve">  Inversiones en Valores Mantenidas hasta su Vencimiento</t>
  </si>
  <si>
    <t>CUENTAS A RECIBIR</t>
  </si>
  <si>
    <t xml:space="preserve"> CUENTAS A RECIBIR DIVERSAS</t>
  </si>
  <si>
    <t xml:space="preserve">  Cuentas por Cobrar al Personal</t>
  </si>
  <si>
    <t xml:space="preserve">  Depósitos en Garantía</t>
  </si>
  <si>
    <t xml:space="preserve">  Otras Cuentas a Recibir Diversas</t>
  </si>
  <si>
    <t xml:space="preserve">   Otras Cuentas por Cobrar</t>
  </si>
  <si>
    <t xml:space="preserve">   Instituciones del Estado Dominicano</t>
  </si>
  <si>
    <t xml:space="preserve">   Otras Cuentas a Recibir</t>
  </si>
  <si>
    <t xml:space="preserve">   Cuentas por Cobrar por Venta a Productores de Ajo</t>
  </si>
  <si>
    <t xml:space="preserve">   Cuentas Por Cobrar Al Feda</t>
  </si>
  <si>
    <t>ACTIVOS FIJOS (NETO)</t>
  </si>
  <si>
    <t xml:space="preserve"> DEPRECIACION ACUMULADA</t>
  </si>
  <si>
    <t xml:space="preserve"> TERRENOS</t>
  </si>
  <si>
    <t xml:space="preserve"> EDIFICACIONES</t>
  </si>
  <si>
    <t xml:space="preserve"> MOBILIARIOS Y EQUIPOS</t>
  </si>
  <si>
    <t xml:space="preserve">  Muebles y Equipos de Oficina</t>
  </si>
  <si>
    <t xml:space="preserve">  Equipos de Transporte</t>
  </si>
  <si>
    <t xml:space="preserve">  Otros Muebles y Equipos</t>
  </si>
  <si>
    <t xml:space="preserve"> CONSTRUCCIONES Y ADQUISICIONES EN PROCESO</t>
  </si>
  <si>
    <t xml:space="preserve">  Mejora de Propiedad tomadas en arrendamientos</t>
  </si>
  <si>
    <t xml:space="preserve">  Construcciones y Adquisiciones en proceso</t>
  </si>
  <si>
    <t>INVERSIONES PERMANENTES EN ACCIONES</t>
  </si>
  <si>
    <t xml:space="preserve"> Inversiones permanentes en acciones</t>
  </si>
  <si>
    <t xml:space="preserve">  Participación en instituciones financieras del país</t>
  </si>
  <si>
    <t xml:space="preserve">  Participación en otras instituciones</t>
  </si>
  <si>
    <t xml:space="preserve"> Provisión para inversiones permanentes</t>
  </si>
  <si>
    <t>OTROS ACTIVOS</t>
  </si>
  <si>
    <t xml:space="preserve"> PAGOS ANTICIPADOS</t>
  </si>
  <si>
    <t xml:space="preserve">  Otros Gastos Pagados por Anticipado</t>
  </si>
  <si>
    <t xml:space="preserve">   Seguros</t>
  </si>
  <si>
    <t xml:space="preserve">   Provisión para viáticos</t>
  </si>
  <si>
    <t xml:space="preserve">   Otros Gastos por Amortizar</t>
  </si>
  <si>
    <t xml:space="preserve"> OTROS CARGOS DIFERIDOS</t>
  </si>
  <si>
    <t xml:space="preserve">  Software</t>
  </si>
  <si>
    <t xml:space="preserve">   Valor de Origen del Software</t>
  </si>
  <si>
    <t xml:space="preserve">   Amortización Acumulada del Software</t>
  </si>
  <si>
    <t xml:space="preserve"> BIENES RECIBIDOS EN RECUPERACION DE CREDITO</t>
  </si>
  <si>
    <t xml:space="preserve">  Bienes Recibidos en Recuperación de Créditos</t>
  </si>
  <si>
    <t xml:space="preserve">  Menos: Prov. de Bienes Rec. en Recuperación de Créditos</t>
  </si>
  <si>
    <t xml:space="preserve"> Mobiliarios y Equipos Recibidos en Recuperación de Créditos</t>
  </si>
  <si>
    <t xml:space="preserve">  Adjudicados</t>
  </si>
  <si>
    <t xml:space="preserve"> Inmuebles Recibidos en Recuperación de Créditos</t>
  </si>
  <si>
    <t xml:space="preserve"> BIENES DIVERSOS</t>
  </si>
  <si>
    <t xml:space="preserve">  Bienes Adquiridos O Construidos para la Venta</t>
  </si>
  <si>
    <t xml:space="preserve">  Papelería, Utiles y Otros Materiales</t>
  </si>
  <si>
    <t xml:space="preserve">  Bibliotecas y Obras de arte</t>
  </si>
  <si>
    <t xml:space="preserve"> PARTIDAS POR IMPUTAR</t>
  </si>
  <si>
    <t xml:space="preserve">  Faltante de Caja</t>
  </si>
  <si>
    <t xml:space="preserve">  Otras Partidas por Imputar</t>
  </si>
  <si>
    <t>DEPOSITOS EN PODER DEL PUBLICO</t>
  </si>
  <si>
    <t xml:space="preserve"> DEPOSITOS DE AHORROS</t>
  </si>
  <si>
    <t xml:space="preserve"> DEPOSITOS A PLAZO</t>
  </si>
  <si>
    <t xml:space="preserve">  Depósitos a Plazo Indefinido</t>
  </si>
  <si>
    <t xml:space="preserve">  Depósitos a Plazo Fijo</t>
  </si>
  <si>
    <t xml:space="preserve"> DEPOSITOS DEL PUBLICO RESTRINGIDOS</t>
  </si>
  <si>
    <t xml:space="preserve">  Depósitos de Ahorros Inactivos</t>
  </si>
  <si>
    <t xml:space="preserve">  Fondos Embargados de Depósitos de Ahorros</t>
  </si>
  <si>
    <t xml:space="preserve">  Depósitos de Ahorros de Clientes Fallecidos</t>
  </si>
  <si>
    <t xml:space="preserve">  Depósitos de Ahorros Afectados en Garantía</t>
  </si>
  <si>
    <t xml:space="preserve"> CARGOS POR PAGAR POR DEPOSITOS DEL PUBLICO</t>
  </si>
  <si>
    <t xml:space="preserve">  Depósito de Ahorros con Libreta</t>
  </si>
  <si>
    <t xml:space="preserve">   Depósito de Ahorros con Libreta</t>
  </si>
  <si>
    <t xml:space="preserve">   Depósito a Plazo Fijo</t>
  </si>
  <si>
    <t xml:space="preserve">  Cargos por Pagar por Depósitos del Público Restrngidos</t>
  </si>
  <si>
    <t xml:space="preserve"> VALORES EMITIDOS HASTA UN AÑO DE PLAZO</t>
  </si>
  <si>
    <t xml:space="preserve">  Certificados Financieros</t>
  </si>
  <si>
    <t xml:space="preserve"> VALORES EMITIDOS A MAS DE UN AÑO DE PLAZO</t>
  </si>
  <si>
    <t xml:space="preserve"> VALORES EN PODER DEL PUBLICO RESTRINGIDOS</t>
  </si>
  <si>
    <t xml:space="preserve">  Valores de Clientes Fallecidos</t>
  </si>
  <si>
    <t xml:space="preserve">   Certificados Financieros</t>
  </si>
  <si>
    <t xml:space="preserve">  Valores Afectados en Garantías</t>
  </si>
  <si>
    <t xml:space="preserve"> CARGOS POR PAGAR POR VALORES EN PODER DEL </t>
  </si>
  <si>
    <t>FINANCIAMIENTOS OBTENIDOS</t>
  </si>
  <si>
    <t xml:space="preserve"> FINANC. OTRAS INSTITUCIONES DEL PAIS MAS DE 1 AÑO</t>
  </si>
  <si>
    <t xml:space="preserve">  Financiamientos Obtenidos del B.C.R.D.</t>
  </si>
  <si>
    <t xml:space="preserve">  Financ. de Entidades Financ. del País hasta 1 AñO</t>
  </si>
  <si>
    <t xml:space="preserve">  Cargos por Pagar por Financiamientos</t>
  </si>
  <si>
    <t>OBLIGACIONES FINANCIERAS</t>
  </si>
  <si>
    <t xml:space="preserve">  Otros Cheques de Administración</t>
  </si>
  <si>
    <t xml:space="preserve">   Otros Cheques de Administración</t>
  </si>
  <si>
    <t xml:space="preserve"> OBLIGACIONES FINANCIERAS A LA VISTA</t>
  </si>
  <si>
    <t xml:space="preserve">  Obligaciones Financieras Diversas a la Vista</t>
  </si>
  <si>
    <t xml:space="preserve">   Depósitos Contratos de Alquileres</t>
  </si>
  <si>
    <t xml:space="preserve">   Depósitos Contratos en Consignación</t>
  </si>
  <si>
    <t xml:space="preserve">   Otros Depósitos</t>
  </si>
  <si>
    <t xml:space="preserve">   Garantías Económicas</t>
  </si>
  <si>
    <t xml:space="preserve">   Otros Depósitos Normales</t>
  </si>
  <si>
    <t xml:space="preserve"> CARGOS POR PAGAR OBLIGACIONES FINANCIERAS</t>
  </si>
  <si>
    <t xml:space="preserve">  Cargos por Pagar Obligaciones Financ. a la Vista</t>
  </si>
  <si>
    <t>ACREEDORES DIVERSOS</t>
  </si>
  <si>
    <t xml:space="preserve">  Impuestos retenidos al personal por pagar</t>
  </si>
  <si>
    <t xml:space="preserve">  Impuestos retenidos a terceros por pagar</t>
  </si>
  <si>
    <t xml:space="preserve">  Aportes Laborales Retenidos por Pagar</t>
  </si>
  <si>
    <t xml:space="preserve">    Seguro Médico Colectivo</t>
  </si>
  <si>
    <t xml:space="preserve">    Ley Savica</t>
  </si>
  <si>
    <t xml:space="preserve">    Fundapec</t>
  </si>
  <si>
    <t xml:space="preserve">    Otras Retenciones a Empleados</t>
  </si>
  <si>
    <t xml:space="preserve">  Primas de Seguros Retenidos por Pagar</t>
  </si>
  <si>
    <t xml:space="preserve">    AGRODOSA</t>
  </si>
  <si>
    <t xml:space="preserve">  Acreedores Varios</t>
  </si>
  <si>
    <t xml:space="preserve">   Cartas Ordenes</t>
  </si>
  <si>
    <t xml:space="preserve">     Emitidas</t>
  </si>
  <si>
    <t xml:space="preserve">     Maquinarias y Equipos</t>
  </si>
  <si>
    <t xml:space="preserve">   Otras Cuentas por Pagar</t>
  </si>
  <si>
    <t xml:space="preserve">   Otras Instituciones Estatales</t>
  </si>
  <si>
    <t xml:space="preserve">   Facturación de CODETEL</t>
  </si>
  <si>
    <t xml:space="preserve">   Seguridad Social</t>
  </si>
  <si>
    <t xml:space="preserve">   Cheques Recibidos a más de un año</t>
  </si>
  <si>
    <t xml:space="preserve">  OTRAS PROVISIONES</t>
  </si>
  <si>
    <t xml:space="preserve">   Provisiones para Presentaciones Laborales</t>
  </si>
  <si>
    <t xml:space="preserve">     Regalía Pascual</t>
  </si>
  <si>
    <t xml:space="preserve">     Provisiones para Prestaciones Laborales</t>
  </si>
  <si>
    <t xml:space="preserve">     Prestaciones Laborales en Litigio</t>
  </si>
  <si>
    <t xml:space="preserve">     Provisiones Pasivo Laboral</t>
  </si>
  <si>
    <t>OTROS PASIVOS</t>
  </si>
  <si>
    <t xml:space="preserve">  PARTIDAS POR IMPUTAR</t>
  </si>
  <si>
    <t xml:space="preserve">    Partidas Identificables</t>
  </si>
  <si>
    <t xml:space="preserve">      Sobrantes de Caja</t>
  </si>
  <si>
    <t xml:space="preserve">  OTRAS PARTIDAS POR IMPUTAR</t>
  </si>
  <si>
    <t xml:space="preserve">   Recibido para aplicar a préstamos</t>
  </si>
  <si>
    <t xml:space="preserve">   Recibido para aplicar vtas. de prop. y equipos</t>
  </si>
  <si>
    <t xml:space="preserve">   Recuperación de préstamos traspasados al Est. Dom.</t>
  </si>
  <si>
    <t xml:space="preserve">   Partidas no Identificables</t>
  </si>
  <si>
    <t xml:space="preserve">   Descuentos Prestamos Plan de Retiro</t>
  </si>
  <si>
    <t xml:space="preserve">   Descuentos Prestamos Empleados (CONSUMO)</t>
  </si>
  <si>
    <t xml:space="preserve">   Indemnizaciones Privadas Agrodosa</t>
  </si>
  <si>
    <t xml:space="preserve">   Descuentos Préstamos 75% Financiamiento Vehiculos</t>
  </si>
  <si>
    <t xml:space="preserve">  OTROS CREDITOS DIFERIDOS</t>
  </si>
  <si>
    <t xml:space="preserve">    Comisiones por servicios cobradas por anticipado</t>
  </si>
  <si>
    <t>FONDOS EN ADMINISTRACION</t>
  </si>
  <si>
    <t xml:space="preserve">  FONDOS DEL GOBIERNO HASTA UN AÑO</t>
  </si>
  <si>
    <t xml:space="preserve">   Gobierno Central</t>
  </si>
  <si>
    <t xml:space="preserve">   Fondos PROCA II</t>
  </si>
  <si>
    <t xml:space="preserve">  FONDOS DEL GOBIERNO A MAS DE UN AÑO</t>
  </si>
  <si>
    <t xml:space="preserve">      CONALECHE - Intereses</t>
  </si>
  <si>
    <t xml:space="preserve">      CONALECHE - Capital</t>
  </si>
  <si>
    <t xml:space="preserve">      Corporación de Fomento Industrial</t>
  </si>
  <si>
    <t xml:space="preserve">      Programa de Finaciamiento a la Micro, Pequeña y Mediana </t>
  </si>
  <si>
    <t xml:space="preserve">      Convenio FEDA BAGRICOLA</t>
  </si>
  <si>
    <t xml:space="preserve">      Convenio BAGRICOLA-Fundación Reservas del País</t>
  </si>
  <si>
    <t xml:space="preserve">      Convenio BAGRICOLA- Fundación Reservas del País - Intereses</t>
  </si>
  <si>
    <t xml:space="preserve">      Convenio FEDA BAGRICOLA Intereses</t>
  </si>
  <si>
    <t xml:space="preserve">      Programa Reactivación sector Agropecuario - Tasa Cero</t>
  </si>
  <si>
    <t xml:space="preserve">  FONDOS DEL SECTOR PRIVADO A MAS DE UN AÑO</t>
  </si>
  <si>
    <t xml:space="preserve">    Fondos para Fines Específicos</t>
  </si>
  <si>
    <t xml:space="preserve">    Fondos para pensiones del personal</t>
  </si>
  <si>
    <t xml:space="preserve"> T O T A L  P A S I V O S</t>
  </si>
  <si>
    <t xml:space="preserve">  Seguros Pagados por Anticipado</t>
  </si>
  <si>
    <t>CAPITAL EN CIRCULACION</t>
  </si>
  <si>
    <t xml:space="preserve"> CAPITAL PAGADO</t>
  </si>
  <si>
    <t xml:space="preserve">  Acciones emitidas por aportes en efectivo</t>
  </si>
  <si>
    <t xml:space="preserve"> CAPITAL DONADO</t>
  </si>
  <si>
    <t xml:space="preserve">  Capital Donado por el Estado Dominicano</t>
  </si>
  <si>
    <t xml:space="preserve">  Capital Donado por Instituciones Internacionales</t>
  </si>
  <si>
    <t>APORTES PATRIMONIALES NO CAPITALIZADOS</t>
  </si>
  <si>
    <t xml:space="preserve"> APORTES PARA INCREMENTOS DE CAPITAL</t>
  </si>
  <si>
    <t xml:space="preserve">  Donaciones pendientes de capitalización</t>
  </si>
  <si>
    <t xml:space="preserve">   Capital Donado por el Estado Dominicano</t>
  </si>
  <si>
    <t xml:space="preserve">   Capital Donado por Instituciones Internacionales</t>
  </si>
  <si>
    <t>RESERVAS PATRIMONIALES</t>
  </si>
  <si>
    <t xml:space="preserve"> RESERVAS OBLIGATORIAS</t>
  </si>
  <si>
    <t xml:space="preserve">  Reservas Legales</t>
  </si>
  <si>
    <t xml:space="preserve">  Reservas por otras Disposiciones</t>
  </si>
  <si>
    <t xml:space="preserve">RESULTADOS ACUMULADOS DE EJERCICIOS </t>
  </si>
  <si>
    <t xml:space="preserve">  Utilidades del Ejercicio</t>
  </si>
  <si>
    <t>RESULTADOS DEL EJERCICIO</t>
  </si>
  <si>
    <t xml:space="preserve"> UTILIDAD DEL EJERCICIO</t>
  </si>
  <si>
    <t>TOTAL PATRIMONIO</t>
  </si>
  <si>
    <t>TOTAL PASIVOS Y PATRIMONIO</t>
  </si>
  <si>
    <t xml:space="preserve">      Convenio FEDA BAGRICOLA 2021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</si>
  <si>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</si>
  <si>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</si>
  <si>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</si>
  <si>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</si>
  <si>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</si>
  <si>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</si>
  <si>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</si>
  <si>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</si>
  <si>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</si>
  <si>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</si>
  <si>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</si>
  <si>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</si>
  <si>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</si>
  <si>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</si>
  <si>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</si>
  <si>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</si>
  <si>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</si>
  <si>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</si>
  <si>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</si>
  <si>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</si>
  <si>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</si>
  <si>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</si>
  <si>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</si>
  <si>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</si>
  <si>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</si>
  <si>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</si>
  <si>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</si>
  <si>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</si>
  <si>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</si>
  <si>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</si>
  <si>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</si>
  <si>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</si>
  <si>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</si>
  <si>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</si>
  <si>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</si>
  <si>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</si>
  <si>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</si>
  <si>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</si>
  <si>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</si>
  <si>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</si>
  <si>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</si>
  <si>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</si>
  <si>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</si>
  <si>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</si>
  <si>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</si>
  <si>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</si>
  <si>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</si>
  <si>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</si>
  <si>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</si>
  <si>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</si>
  <si>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</si>
  <si>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</si>
  <si>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</si>
  <si>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</si>
  <si>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</si>
  <si>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</si>
  <si>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</si>
  <si>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</si>
  <si>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</si>
  <si>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</si>
  <si>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</si>
  <si>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</si>
  <si>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</si>
  <si>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</si>
  <si>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</si>
  <si>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</si>
  <si>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</si>
  <si>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</si>
  <si>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</si>
  <si>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</si>
  <si>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</si>
  <si>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</si>
  <si>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</si>
  <si>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</si>
  <si>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</si>
  <si>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</si>
  <si>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</si>
  <si>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</si>
  <si>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</si>
  <si>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</si>
  <si>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</si>
  <si>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</si>
  <si>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</si>
  <si>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</si>
  <si>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</si>
  <si>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</si>
  <si>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</si>
  <si>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</si>
  <si>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</si>
  <si>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</si>
  <si>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</si>
  <si>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</si>
  <si>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</si>
  <si>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</si>
  <si>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</si>
  <si>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</si>
  <si>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</si>
  <si>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</si>
  <si>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</si>
  <si>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</si>
  <si>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</si>
  <si>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</si>
  <si>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</si>
  <si>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</si>
  <si>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</si>
  <si>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</si>
  <si>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</si>
  <si>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</si>
  <si>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</si>
  <si>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</si>
  <si>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</si>
  <si>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</si>
  <si>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</si>
  <si>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</si>
  <si>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</si>
  <si>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</si>
  <si>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</si>
  <si>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</si>
  <si>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</si>
  <si>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</si>
  <si>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</si>
  <si>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</si>
  <si>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</si>
  <si>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</si>
  <si>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</si>
  <si>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</si>
  <si>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</si>
  <si>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</si>
  <si>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</si>
  <si>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</si>
  <si>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</si>
  <si>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</si>
  <si>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</si>
  <si>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</si>
  <si>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</si>
  <si>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</si>
  <si>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</si>
  <si>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</si>
  <si>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</si>
  <si>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</si>
  <si>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</si>
  <si>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>ESTADO DE RESULTADOS ACUMULADOS POR OFICINAS Y CATEGORIA</t>
  </si>
  <si>
    <t>INGRESOS</t>
  </si>
  <si>
    <t xml:space="preserve">OTROS </t>
  </si>
  <si>
    <t xml:space="preserve">GASTOS </t>
  </si>
  <si>
    <t>NO</t>
  </si>
  <si>
    <t>GENERALES</t>
  </si>
  <si>
    <t xml:space="preserve">RESULTADO </t>
  </si>
  <si>
    <t>OFICINA</t>
  </si>
  <si>
    <t>PUNTO DE</t>
  </si>
  <si>
    <t>OFICINA PRINCIPAL</t>
  </si>
  <si>
    <t>FINANCIEROS</t>
  </si>
  <si>
    <t>OPERAC.</t>
  </si>
  <si>
    <t>ORDINARIOS</t>
  </si>
  <si>
    <t>ADMTVOS.</t>
  </si>
  <si>
    <t>PRINCIPAL</t>
  </si>
  <si>
    <t>CARTERA</t>
  </si>
  <si>
    <t>EQUILIBRIO</t>
  </si>
  <si>
    <t xml:space="preserve">SAN JUAN </t>
  </si>
  <si>
    <t>SUB TOTAL</t>
  </si>
  <si>
    <t xml:space="preserve"> TOTAL  GENERAL </t>
  </si>
  <si>
    <t xml:space="preserve">  Premios al Personal</t>
  </si>
  <si>
    <t xml:space="preserve"> Gastos de Representacion fijos</t>
  </si>
  <si>
    <t xml:space="preserve">    Gastos diversos de Traslado y comunicacion</t>
  </si>
  <si>
    <t>AL 30  DE NOVIEMBRE 2021</t>
  </si>
  <si>
    <t>Resultado</t>
  </si>
  <si>
    <t>EXTRA</t>
  </si>
  <si>
    <t xml:space="preserve"> incluyendo </t>
  </si>
  <si>
    <t>PARA EL PTO, EQUI.</t>
  </si>
  <si>
    <t>para distribuciom resul. 00</t>
  </si>
  <si>
    <t>EXTRAORD.</t>
  </si>
  <si>
    <t>ofic. Principal</t>
  </si>
  <si>
    <t>FINANCIERO Y ADMTVO.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</si>
  <si>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</si>
  <si>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</si>
  <si>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</si>
  <si>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</si>
  <si>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</si>
  <si>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</si>
  <si>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</si>
  <si>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</si>
  <si>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</si>
  <si>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</si>
  <si>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</si>
  <si>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</si>
  <si>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</si>
  <si>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</si>
  <si>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</si>
  <si>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</si>
  <si>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</si>
  <si>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</si>
  <si>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</si>
  <si>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</si>
  <si>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</si>
  <si>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</si>
  <si>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</si>
  <si>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</si>
  <si>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</si>
  <si>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</si>
  <si>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</si>
  <si>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</si>
  <si>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</si>
  <si>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</si>
  <si>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</si>
  <si>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</si>
  <si>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</si>
  <si>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</si>
  <si>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</si>
  <si>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</si>
  <si>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</si>
  <si>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</si>
  <si>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</si>
  <si>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</si>
  <si>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</si>
  <si>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</si>
  <si>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</si>
  <si>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</si>
  <si>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</si>
  <si>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</si>
  <si>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</si>
  <si>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</si>
  <si>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</si>
  <si>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</si>
  <si>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</si>
  <si>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</si>
  <si>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</si>
  <si>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</si>
  <si>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</si>
  <si>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</si>
  <si>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</si>
  <si>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</si>
  <si>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</si>
  <si>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</si>
  <si>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</si>
  <si>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</si>
  <si>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</si>
  <si>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</si>
  <si>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</si>
  <si>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</si>
  <si>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</si>
  <si>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</si>
  <si>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</si>
  <si>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</si>
  <si>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</si>
  <si>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</si>
  <si>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</si>
  <si>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</si>
  <si>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</si>
  <si>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</si>
  <si>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</si>
  <si>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</si>
  <si>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</si>
  <si>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</si>
  <si>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</si>
  <si>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</si>
  <si>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</si>
  <si>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</si>
  <si>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</si>
  <si>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</si>
  <si>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</si>
  <si>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</si>
  <si>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</si>
  <si>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</si>
  <si>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</si>
  <si>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 xml:space="preserve">   </t>
  </si>
  <si>
    <t xml:space="preserve">                    Fernando Durán</t>
  </si>
  <si>
    <t>ESTADO DE CAMBIO EN EL EFECTIVO</t>
  </si>
  <si>
    <t xml:space="preserve">    EFECTIVO POR ACTIVIDADES DE OPERACION:                                </t>
  </si>
  <si>
    <t xml:space="preserve">   Otros ingresos financieros a cobrar</t>
  </si>
  <si>
    <t xml:space="preserve">   Otros ingresos operacionales cobrados</t>
  </si>
  <si>
    <t xml:space="preserve">   Intereses pagados sobre captaciones</t>
  </si>
  <si>
    <t xml:space="preserve">   Gastos administrativos y generales pagados</t>
  </si>
  <si>
    <t xml:space="preserve">   Otros gastos operacionales pagados</t>
  </si>
  <si>
    <t xml:space="preserve">   Impuesto S/Renta por pagar</t>
  </si>
  <si>
    <t xml:space="preserve">   Créditos cobrados</t>
  </si>
  <si>
    <t xml:space="preserve">   Adquisición de propiedad, planta y equipos</t>
  </si>
  <si>
    <t xml:space="preserve">   Producto de la venta de propiedad, planta y equipos </t>
  </si>
  <si>
    <t xml:space="preserve">   Producto de la venta de bienes recibidos en recuperacion de creditos</t>
  </si>
  <si>
    <t xml:space="preserve"> Lic. Maricela Checo</t>
  </si>
  <si>
    <t xml:space="preserve">                Administrador General</t>
  </si>
  <si>
    <t xml:space="preserve">        Contralor </t>
  </si>
  <si>
    <t xml:space="preserve">   Provisiones:</t>
  </si>
  <si>
    <t>Liberacion de provisiones:</t>
  </si>
  <si>
    <t xml:space="preserve">   Depreciaciones y amortizaciones</t>
  </si>
  <si>
    <t>Cambios netos en activos y pasivos:</t>
  </si>
  <si>
    <t xml:space="preserve">   Efectivo neto provisto por las actividades de operación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</si>
  <si>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</si>
  <si>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</si>
  <si>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</si>
  <si>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</si>
  <si>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</si>
  <si>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</si>
  <si>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</si>
  <si>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</si>
  <si>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</si>
  <si>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>LEYENDA COLOR TAP</t>
  </si>
  <si>
    <t>FIRMADAS</t>
  </si>
  <si>
    <t>POST CIERRE</t>
  </si>
  <si>
    <t>PRE CIERRE</t>
  </si>
  <si>
    <t>CONFIRMAR POST CIERRE</t>
  </si>
  <si>
    <t xml:space="preserve">   EFECTIVO POR ACTIVIDADES DE FINANCIAMIENTO:</t>
  </si>
  <si>
    <t xml:space="preserve">   AUMENTO (DISMINUCION) NETO EN EFECTIVO </t>
  </si>
  <si>
    <t xml:space="preserve">   EFECTIVO  AL INICIO DEL AÑO</t>
  </si>
  <si>
    <t xml:space="preserve">   EFECTIVO  AL FINAL DEL PERIODO</t>
  </si>
  <si>
    <t>Al 30 DE SEPTIEMBRE 2023 Y 2022</t>
  </si>
  <si>
    <t>Al 31 DE OCTUBRE 2023 Y 2022</t>
  </si>
  <si>
    <t>Al 31 DE DICIEMBRE 2023 Y 2022</t>
  </si>
  <si>
    <t>Al 31 DE ENERO 2023</t>
  </si>
  <si>
    <t>Al 31 DE ENERO 2023 Y 2022</t>
  </si>
  <si>
    <t xml:space="preserve">                         2023</t>
  </si>
  <si>
    <t xml:space="preserve">                         2024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</si>
  <si>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</si>
  <si>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</si>
  <si>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</si>
  <si>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</si>
  <si>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</si>
  <si>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</si>
  <si>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 xml:space="preserve">   Intereses y comisiones cobrados por créditos </t>
  </si>
  <si>
    <t xml:space="preserve">   Intereses y comisiones pagados sobre financiamientos</t>
  </si>
  <si>
    <t xml:space="preserve">   Cobros (Pagos) diversos por actividades  de operación</t>
  </si>
  <si>
    <t>EFECTIVO POR ACTIVIDADES DE INVERSION:</t>
  </si>
  <si>
    <t xml:space="preserve">Inversiones a aperturar </t>
  </si>
  <si>
    <t>Créditos otorgados</t>
  </si>
  <si>
    <t>Créditos cobrados</t>
  </si>
  <si>
    <t>Adquisición de propiedad, planta y equipos</t>
  </si>
  <si>
    <t xml:space="preserve">Producto de la venta de propiedad, planta y equipos </t>
  </si>
  <si>
    <t>Producto de la venta de bienes recibidos en recuperacion de creditos</t>
  </si>
  <si>
    <t>Captaciones recibidas</t>
  </si>
  <si>
    <t>Captaciones a devolver</t>
  </si>
  <si>
    <t>Operaciones de fondos a tomar prestado</t>
  </si>
  <si>
    <t>Operaciones de fondos a pagar</t>
  </si>
  <si>
    <t>Aportes de capital</t>
  </si>
  <si>
    <t>Conciliación entre el resultado del ejercicio y el efectivo neto provisto por (usado en) las actividades de operación</t>
  </si>
  <si>
    <t>Resultado Neto del período</t>
  </si>
  <si>
    <t>Ajustes para conciliar el resultado del ejercicio con el efectivo neto provisto por (usado en ) las actividades de operación:</t>
  </si>
  <si>
    <t>Provisiones constituidas:</t>
  </si>
  <si>
    <t>Cartera de creditos</t>
  </si>
  <si>
    <t>Inversiones</t>
  </si>
  <si>
    <t>Propiedad, Planta y Equipos</t>
  </si>
  <si>
    <t>Bienes recibidos en recuperacion de creditos</t>
  </si>
  <si>
    <t>Rendimientos por cobrar</t>
  </si>
  <si>
    <t xml:space="preserve">Inversiones </t>
  </si>
  <si>
    <t>Cartera de créditos</t>
  </si>
  <si>
    <t>Cuentas por cobrar</t>
  </si>
  <si>
    <t>Otros activos</t>
  </si>
  <si>
    <t>Disminución neta en otros pasivos</t>
  </si>
  <si>
    <t>Total de ajustes</t>
  </si>
  <si>
    <t xml:space="preserve">   Efectivo neto provisto (usado) por las actividades de operación</t>
  </si>
  <si>
    <t xml:space="preserve">   Efectivo neto provisto (usado) en actividades de inversión</t>
  </si>
  <si>
    <t xml:space="preserve">   Efectivo neto provisto (usado) en actividades de financiamiento</t>
  </si>
  <si>
    <t xml:space="preserve">   Ingresos Financieros por Inversiones</t>
  </si>
  <si>
    <t xml:space="preserve">   En instituciones Financieras del país</t>
  </si>
  <si>
    <t>AL 30 DE SEPTIEMBRE 2024 Y 2023</t>
  </si>
  <si>
    <t xml:space="preserve">AL 30 DE SEPTIEMBRE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</si>
</sst>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67" formatCode="#,##0.0_);\(#,##0.0\)"/>
    <numFmt numFmtId="168" formatCode="_(* #,##0.00_);_(* \(#,##0.00\);_(* \-??_);_(@_)"/>
    <numFmt numFmtId="169" formatCode="#,##0.00000000_);\(#,##0.00000000\)"/>
    <numFmt numFmtId="170" formatCode="_(* #,##0.0_);_(* \(#,##0.0\);_(* &quot;-&quot;??_);_(@_)"/>
    <numFmt numFmtId="171" formatCode="#,##0.00;\(#,##0.00\);0.00"/>
  </numFmts>
  <fonts count="8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2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0"/>
      <name val="Courier"/>
    </font>
    <font>
      <sz val="10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sz val="5.5"/>
      <color indexed="8"/>
      <name val="Small Fonts"/>
      <family val="2"/>
    </font>
    <font>
      <b/>
      <sz val="5.5"/>
      <color indexed="8"/>
      <name val="Small Fonts"/>
      <family val="2"/>
    </font>
    <font>
      <b/>
      <sz val="5.5"/>
      <color indexed="8"/>
      <name val="Times New Roman"/>
      <family val="1"/>
    </font>
    <font>
      <b/>
      <sz val="7"/>
      <name val="Times New Roman"/>
      <family val="1"/>
    </font>
    <font>
      <sz val="5.5"/>
      <color indexed="8"/>
      <name val="Times New Roman"/>
      <family val="1"/>
    </font>
    <font>
      <b/>
      <u/>
      <sz val="7"/>
      <name val="Times New Roman"/>
      <family val="1"/>
    </font>
    <font>
      <sz val="7"/>
      <name val="Times New Roman"/>
      <family val="1"/>
    </font>
    <font>
      <sz val="5.5"/>
      <name val="Times New Roman"/>
      <family val="1"/>
    </font>
    <font>
      <b/>
      <sz val="5.5"/>
      <name val="Times New Roman"/>
      <family val="1"/>
    </font>
    <font>
      <sz val="5.5"/>
      <color indexed="10"/>
      <name val="Times New Roman"/>
      <family val="1"/>
    </font>
    <font>
      <b/>
      <u/>
      <sz val="5.5"/>
      <name val="Times New Roman"/>
      <family val="1"/>
    </font>
    <font>
      <u/>
      <sz val="5.5"/>
      <name val="Times New Roman"/>
      <family val="1"/>
    </font>
    <font>
      <sz val="5.5"/>
      <color indexed="9"/>
      <name val="Times New Roman"/>
      <family val="1"/>
    </font>
    <font>
      <b/>
      <sz val="5.5"/>
      <name val="Small Fonts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u/>
      <sz val="10"/>
      <color indexed="8"/>
      <name val="Arial"/>
      <family val="2"/>
    </font>
    <font>
      <sz val="7"/>
      <color indexed="8"/>
      <name val="Times New Roman"/>
      <family val="1"/>
    </font>
    <font>
      <sz val="10"/>
      <color indexed="8"/>
      <name val="Arial"/>
      <family val="2"/>
    </font>
    <font>
      <sz val="9"/>
      <color indexed="8"/>
      <name val="Times New Roman"/>
      <family val="1"/>
    </font>
    <font>
      <sz val="12"/>
      <name val="Times New Roman"/>
      <family val="1"/>
    </font>
    <font>
      <sz val="10"/>
      <color rgb="FF000000"/>
      <name val="Arial"/>
      <family val="2"/>
    </font>
    <font>
      <sz val="8"/>
      <color indexed="8"/>
      <name val="Times New Roman"/>
      <family val="1"/>
    </font>
    <font>
      <sz val="5.5"/>
      <color indexed="10"/>
      <name val="Small Fonts"/>
      <family val="2"/>
    </font>
    <font>
      <b/>
      <u/>
      <sz val="10"/>
      <name val="Times New Roman"/>
      <family val="1"/>
    </font>
    <font>
      <b/>
      <u/>
      <sz val="10"/>
      <color indexed="8"/>
      <name val="Times New Roman"/>
      <family val="1"/>
    </font>
    <font>
      <sz val="12"/>
      <color theme="1"/>
      <name val="Calibri"/>
      <family val="2"/>
      <scheme val="minor"/>
    </font>
    <font>
      <sz val="13"/>
      <color indexed="8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3"/>
      <color indexed="8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b/>
      <sz val="12"/>
      <color theme="9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168" fontId="15" fillId="0" borderId="0" applyBorder="0" applyProtection="0"/>
    <xf numFmtId="168" fontId="14" fillId="0" borderId="0" applyBorder="0" applyProtection="0"/>
    <xf numFmtId="0" fontId="21" fillId="0" borderId="0"/>
    <xf numFmtId="39" fontId="9" fillId="0" borderId="0"/>
    <xf numFmtId="43" fontId="14" fillId="0" borderId="0" applyFont="0" applyFill="0" applyBorder="0" applyAlignment="0" applyProtection="0"/>
    <xf numFmtId="0" fontId="43" fillId="0" borderId="0"/>
    <xf numFmtId="0" fontId="40" fillId="0" borderId="0">
      <alignment vertical="top"/>
    </xf>
    <xf numFmtId="0" fontId="40" fillId="0" borderId="0">
      <alignment vertical="top"/>
    </xf>
    <xf numFmtId="9" fontId="14" fillId="0" borderId="0" applyFont="0" applyFill="0" applyBorder="0" applyAlignment="0" applyProtection="0"/>
    <xf numFmtId="166" fontId="9" fillId="0" borderId="0"/>
    <xf numFmtId="43" fontId="14" fillId="0" borderId="0" applyFont="0" applyFill="0" applyBorder="0" applyAlignment="0" applyProtection="0"/>
    <xf numFmtId="39" fontId="9" fillId="0" borderId="0"/>
  </cellStyleXfs>
  <cellXfs count="296">
    <xf numFmtId="0" fontId="0" fillId="0" borderId="0" xfId="0"/>
    <xf numFmtId="164" fontId="17" fillId="4" borderId="0" xfId="1" applyNumberFormat="1" applyFont="1" applyFill="1" applyBorder="1" applyAlignment="1">
      <alignment vertical="top"/>
    </xf>
    <xf numFmtId="164" fontId="17" fillId="6" borderId="0" xfId="1" applyNumberFormat="1" applyFont="1" applyFill="1" applyBorder="1" applyAlignment="1">
      <alignment vertical="top"/>
    </xf>
    <xf numFmtId="43" fontId="16" fillId="4" borderId="0" xfId="1" applyFont="1" applyFill="1" applyBorder="1" applyAlignment="1">
      <alignment vertical="top"/>
    </xf>
    <xf numFmtId="164" fontId="16" fillId="4" borderId="0" xfId="1" applyNumberFormat="1" applyFont="1" applyFill="1" applyBorder="1" applyAlignment="1">
      <alignment vertical="top"/>
    </xf>
    <xf numFmtId="43" fontId="18" fillId="4" borderId="0" xfId="1" applyFont="1" applyFill="1" applyBorder="1" applyAlignment="1">
      <alignment vertical="top"/>
    </xf>
    <xf numFmtId="164" fontId="18" fillId="4" borderId="0" xfId="1" applyNumberFormat="1" applyFont="1" applyFill="1" applyBorder="1" applyAlignment="1">
      <alignment vertical="top"/>
    </xf>
    <xf numFmtId="43" fontId="16" fillId="4" borderId="0" xfId="1" applyFont="1" applyFill="1" applyAlignment="1">
      <alignment vertical="top"/>
    </xf>
    <xf numFmtId="43" fontId="18" fillId="4" borderId="0" xfId="1" applyFont="1" applyFill="1" applyAlignment="1">
      <alignment vertical="top"/>
    </xf>
    <xf numFmtId="43" fontId="18" fillId="0" borderId="0" xfId="1" applyFont="1" applyAlignment="1"/>
    <xf numFmtId="0" fontId="18" fillId="0" borderId="0" xfId="0" applyFont="1"/>
    <xf numFmtId="0" fontId="18" fillId="8" borderId="0" xfId="0" applyFont="1" applyFill="1" applyAlignment="1">
      <alignment vertical="top"/>
    </xf>
    <xf numFmtId="0" fontId="18" fillId="2" borderId="0" xfId="0" applyFont="1" applyFill="1" applyAlignment="1">
      <alignment vertical="top"/>
    </xf>
    <xf numFmtId="43" fontId="16" fillId="5" borderId="0" xfId="1" applyFont="1" applyFill="1" applyAlignment="1">
      <alignment vertical="top"/>
    </xf>
    <xf numFmtId="0" fontId="16" fillId="5" borderId="0" xfId="1" applyNumberFormat="1" applyFont="1" applyFill="1" applyBorder="1" applyAlignment="1">
      <alignment horizontal="center" vertical="top"/>
    </xf>
    <xf numFmtId="43" fontId="20" fillId="4" borderId="0" xfId="1" applyFont="1" applyFill="1" applyAlignment="1">
      <alignment vertical="top" wrapText="1" readingOrder="1"/>
    </xf>
    <xf numFmtId="164" fontId="20" fillId="4" borderId="6" xfId="1" applyNumberFormat="1" applyFont="1" applyFill="1" applyBorder="1" applyAlignment="1">
      <alignment vertical="top"/>
    </xf>
    <xf numFmtId="43" fontId="5" fillId="4" borderId="0" xfId="1" applyFont="1" applyFill="1" applyAlignment="1">
      <alignment vertical="top" wrapText="1" readingOrder="1"/>
    </xf>
    <xf numFmtId="164" fontId="5" fillId="4" borderId="6" xfId="1" applyNumberFormat="1" applyFont="1" applyFill="1" applyBorder="1" applyAlignment="1">
      <alignment vertical="top"/>
    </xf>
    <xf numFmtId="164" fontId="5" fillId="4" borderId="0" xfId="1" applyNumberFormat="1" applyFont="1" applyFill="1" applyAlignment="1">
      <alignment vertical="top"/>
    </xf>
    <xf numFmtId="43" fontId="16" fillId="4" borderId="0" xfId="1" applyFont="1" applyFill="1" applyAlignment="1">
      <alignment vertical="top" readingOrder="1"/>
    </xf>
    <xf numFmtId="165" fontId="16" fillId="4" borderId="0" xfId="1" applyNumberFormat="1" applyFont="1" applyFill="1" applyAlignment="1">
      <alignment vertical="top"/>
    </xf>
    <xf numFmtId="43" fontId="18" fillId="4" borderId="0" xfId="1" applyFont="1" applyFill="1" applyAlignment="1">
      <alignment vertical="top" wrapText="1" readingOrder="1"/>
    </xf>
    <xf numFmtId="165" fontId="18" fillId="4" borderId="0" xfId="1" applyNumberFormat="1" applyFont="1" applyFill="1" applyAlignment="1">
      <alignment vertical="top"/>
    </xf>
    <xf numFmtId="164" fontId="20" fillId="4" borderId="7" xfId="1" applyNumberFormat="1" applyFont="1" applyFill="1" applyBorder="1" applyAlignment="1">
      <alignment vertical="top"/>
    </xf>
    <xf numFmtId="164" fontId="20" fillId="4" borderId="0" xfId="1" applyNumberFormat="1" applyFont="1" applyFill="1" applyBorder="1" applyAlignment="1">
      <alignment vertical="top"/>
    </xf>
    <xf numFmtId="0" fontId="18" fillId="7" borderId="0" xfId="0" applyFont="1" applyFill="1"/>
    <xf numFmtId="43" fontId="18" fillId="6" borderId="0" xfId="1" applyFont="1" applyFill="1" applyAlignment="1">
      <alignment vertical="top"/>
    </xf>
    <xf numFmtId="164" fontId="18" fillId="6" borderId="0" xfId="1" applyNumberFormat="1" applyFont="1" applyFill="1" applyBorder="1" applyAlignment="1">
      <alignment vertical="top"/>
    </xf>
    <xf numFmtId="43" fontId="16" fillId="6" borderId="0" xfId="1" applyFont="1" applyFill="1" applyAlignment="1">
      <alignment vertical="top"/>
    </xf>
    <xf numFmtId="164" fontId="16" fillId="6" borderId="0" xfId="1" applyNumberFormat="1" applyFont="1" applyFill="1" applyBorder="1" applyAlignment="1">
      <alignment vertical="top"/>
    </xf>
    <xf numFmtId="165" fontId="16" fillId="4" borderId="0" xfId="1" applyNumberFormat="1" applyFont="1" applyFill="1" applyBorder="1" applyAlignment="1">
      <alignment vertical="top"/>
    </xf>
    <xf numFmtId="0" fontId="16" fillId="8" borderId="0" xfId="0" applyFont="1" applyFill="1" applyAlignment="1">
      <alignment vertical="top"/>
    </xf>
    <xf numFmtId="37" fontId="23" fillId="0" borderId="0" xfId="0" applyNumberFormat="1" applyFont="1" applyAlignment="1">
      <alignment horizontal="centerContinuous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Continuous"/>
    </xf>
    <xf numFmtId="165" fontId="28" fillId="0" borderId="0" xfId="9" applyNumberFormat="1" applyFont="1" applyFill="1" applyBorder="1" applyAlignment="1">
      <alignment vertical="justify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4" fillId="9" borderId="8" xfId="0" applyFont="1" applyFill="1" applyBorder="1"/>
    <xf numFmtId="0" fontId="26" fillId="9" borderId="8" xfId="0" applyFont="1" applyFill="1" applyBorder="1"/>
    <xf numFmtId="0" fontId="25" fillId="9" borderId="13" xfId="0" applyFont="1" applyFill="1" applyBorder="1" applyAlignment="1">
      <alignment horizontal="center"/>
    </xf>
    <xf numFmtId="0" fontId="26" fillId="0" borderId="0" xfId="0" applyFont="1"/>
    <xf numFmtId="0" fontId="25" fillId="9" borderId="10" xfId="0" applyFont="1" applyFill="1" applyBorder="1" applyAlignment="1">
      <alignment horizontal="center"/>
    </xf>
    <xf numFmtId="0" fontId="24" fillId="9" borderId="0" xfId="0" applyFont="1" applyFill="1"/>
    <xf numFmtId="0" fontId="26" fillId="9" borderId="0" xfId="0" applyFont="1" applyFill="1"/>
    <xf numFmtId="0" fontId="24" fillId="9" borderId="11" xfId="0" applyFont="1" applyFill="1" applyBorder="1" applyAlignment="1">
      <alignment horizontal="center"/>
    </xf>
    <xf numFmtId="0" fontId="26" fillId="9" borderId="11" xfId="0" applyFont="1" applyFill="1" applyBorder="1"/>
    <xf numFmtId="0" fontId="25" fillId="9" borderId="5" xfId="0" applyFont="1" applyFill="1" applyBorder="1" applyAlignment="1">
      <alignment horizontal="center"/>
    </xf>
    <xf numFmtId="37" fontId="27" fillId="7" borderId="0" xfId="0" applyNumberFormat="1" applyFont="1" applyFill="1" applyAlignment="1">
      <alignment vertical="justify"/>
    </xf>
    <xf numFmtId="37" fontId="39" fillId="7" borderId="0" xfId="0" applyNumberFormat="1" applyFont="1" applyFill="1" applyAlignment="1">
      <alignment horizontal="right" vertical="top"/>
    </xf>
    <xf numFmtId="0" fontId="29" fillId="0" borderId="0" xfId="0" applyFont="1"/>
    <xf numFmtId="0" fontId="29" fillId="3" borderId="0" xfId="0" applyFont="1" applyFill="1"/>
    <xf numFmtId="0" fontId="26" fillId="3" borderId="0" xfId="0" applyFont="1" applyFill="1"/>
    <xf numFmtId="0" fontId="31" fillId="0" borderId="0" xfId="0" applyFont="1"/>
    <xf numFmtId="165" fontId="28" fillId="7" borderId="0" xfId="9" applyNumberFormat="1" applyFont="1" applyFill="1" applyBorder="1" applyAlignment="1">
      <alignment vertical="justify"/>
    </xf>
    <xf numFmtId="37" fontId="29" fillId="0" borderId="0" xfId="0" applyNumberFormat="1" applyFont="1" applyAlignment="1">
      <alignment horizontal="center"/>
    </xf>
    <xf numFmtId="37" fontId="25" fillId="7" borderId="1" xfId="0" applyNumberFormat="1" applyFont="1" applyFill="1" applyBorder="1"/>
    <xf numFmtId="37" fontId="25" fillId="3" borderId="0" xfId="0" applyNumberFormat="1" applyFont="1" applyFill="1" applyAlignment="1">
      <alignment vertical="justify"/>
    </xf>
    <xf numFmtId="37" fontId="30" fillId="3" borderId="0" xfId="0" applyNumberFormat="1" applyFont="1" applyFill="1"/>
    <xf numFmtId="37" fontId="30" fillId="3" borderId="0" xfId="0" applyNumberFormat="1" applyFont="1" applyFill="1" applyAlignment="1">
      <alignment horizontal="right" textRotation="180"/>
    </xf>
    <xf numFmtId="37" fontId="29" fillId="3" borderId="0" xfId="0" applyNumberFormat="1" applyFont="1" applyFill="1"/>
    <xf numFmtId="0" fontId="29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9" fillId="7" borderId="0" xfId="0" applyFont="1" applyFill="1"/>
    <xf numFmtId="0" fontId="26" fillId="7" borderId="0" xfId="0" applyFont="1" applyFill="1"/>
    <xf numFmtId="0" fontId="38" fillId="7" borderId="0" xfId="0" applyFont="1" applyFill="1" applyAlignment="1">
      <alignment vertical="top"/>
    </xf>
    <xf numFmtId="37" fontId="29" fillId="7" borderId="0" xfId="0" applyNumberFormat="1" applyFont="1" applyFill="1"/>
    <xf numFmtId="37" fontId="28" fillId="7" borderId="0" xfId="0" applyNumberFormat="1" applyFont="1" applyFill="1"/>
    <xf numFmtId="169" fontId="29" fillId="7" borderId="0" xfId="0" applyNumberFormat="1" applyFont="1" applyFill="1"/>
    <xf numFmtId="37" fontId="33" fillId="7" borderId="0" xfId="0" applyNumberFormat="1" applyFont="1" applyFill="1"/>
    <xf numFmtId="0" fontId="31" fillId="7" borderId="0" xfId="0" applyFont="1" applyFill="1"/>
    <xf numFmtId="37" fontId="32" fillId="7" borderId="0" xfId="0" applyNumberFormat="1" applyFont="1" applyFill="1"/>
    <xf numFmtId="37" fontId="29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>
      <alignment textRotation="180"/>
    </xf>
    <xf numFmtId="37" fontId="4" fillId="7" borderId="0" xfId="0" applyNumberFormat="1" applyFont="1" applyFill="1" applyAlignment="1">
      <alignment textRotation="180"/>
    </xf>
    <xf numFmtId="37" fontId="25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 applyProtection="1">
      <alignment horizontal="center"/>
      <protection locked="0"/>
    </xf>
    <xf numFmtId="37" fontId="37" fillId="7" borderId="0" xfId="0" applyNumberFormat="1" applyFont="1" applyFill="1" applyAlignment="1" applyProtection="1">
      <alignment horizontal="center"/>
      <protection locked="0"/>
    </xf>
    <xf numFmtId="37" fontId="36" fillId="7" borderId="0" xfId="0" applyNumberFormat="1" applyFont="1" applyFill="1" applyAlignment="1" applyProtection="1">
      <alignment horizontal="center"/>
      <protection locked="0"/>
    </xf>
    <xf numFmtId="37" fontId="35" fillId="7" borderId="0" xfId="0" applyNumberFormat="1" applyFont="1" applyFill="1" applyAlignment="1">
      <alignment textRotation="180"/>
    </xf>
    <xf numFmtId="37" fontId="28" fillId="7" borderId="0" xfId="0" applyNumberFormat="1" applyFont="1" applyFill="1" applyAlignment="1">
      <alignment horizontal="center" vertical="justify"/>
    </xf>
    <xf numFmtId="37" fontId="25" fillId="7" borderId="0" xfId="0" applyNumberFormat="1" applyFont="1" applyFill="1" applyAlignment="1">
      <alignment horizontal="center" vertical="justify"/>
    </xf>
    <xf numFmtId="37" fontId="37" fillId="7" borderId="0" xfId="0" applyNumberFormat="1" applyFont="1" applyFill="1" applyAlignment="1">
      <alignment horizontal="center"/>
    </xf>
    <xf numFmtId="0" fontId="26" fillId="7" borderId="0" xfId="0" applyFont="1" applyFill="1" applyAlignment="1">
      <alignment horizontal="center"/>
    </xf>
    <xf numFmtId="37" fontId="30" fillId="7" borderId="0" xfId="0" applyNumberFormat="1" applyFont="1" applyFill="1" applyAlignment="1">
      <alignment horizontal="center"/>
    </xf>
    <xf numFmtId="39" fontId="25" fillId="7" borderId="0" xfId="0" applyNumberFormat="1" applyFont="1" applyFill="1" applyAlignment="1">
      <alignment horizontal="center"/>
    </xf>
    <xf numFmtId="43" fontId="26" fillId="7" borderId="0" xfId="9" applyFont="1" applyFill="1" applyAlignment="1">
      <alignment horizontal="center"/>
    </xf>
    <xf numFmtId="37" fontId="41" fillId="7" borderId="0" xfId="0" applyNumberFormat="1" applyFont="1" applyFill="1" applyAlignment="1">
      <alignment horizontal="center"/>
    </xf>
    <xf numFmtId="167" fontId="44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/>
    </xf>
    <xf numFmtId="39" fontId="37" fillId="7" borderId="0" xfId="0" applyNumberFormat="1" applyFont="1" applyFill="1" applyAlignment="1">
      <alignment horizontal="center"/>
    </xf>
    <xf numFmtId="37" fontId="19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 vertical="justify"/>
    </xf>
    <xf numFmtId="37" fontId="39" fillId="7" borderId="0" xfId="0" applyNumberFormat="1" applyFont="1" applyFill="1" applyAlignment="1">
      <alignment horizontal="center" vertical="justify"/>
    </xf>
    <xf numFmtId="0" fontId="8" fillId="7" borderId="0" xfId="0" applyFont="1" applyFill="1" applyAlignment="1">
      <alignment horizontal="center"/>
    </xf>
    <xf numFmtId="37" fontId="34" fillId="7" borderId="0" xfId="0" applyNumberFormat="1" applyFont="1" applyFill="1" applyAlignment="1">
      <alignment horizontal="center"/>
    </xf>
    <xf numFmtId="0" fontId="34" fillId="7" borderId="0" xfId="0" applyFont="1" applyFill="1" applyAlignment="1">
      <alignment horizontal="center"/>
    </xf>
    <xf numFmtId="0" fontId="29" fillId="7" borderId="0" xfId="0" applyFont="1" applyFill="1" applyAlignment="1">
      <alignment horizontal="center"/>
    </xf>
    <xf numFmtId="0" fontId="37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37" fontId="10" fillId="7" borderId="0" xfId="0" applyNumberFormat="1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42" fillId="7" borderId="0" xfId="0" applyFont="1" applyFill="1" applyAlignment="1">
      <alignment horizontal="center" vertical="center"/>
    </xf>
    <xf numFmtId="0" fontId="42" fillId="7" borderId="0" xfId="0" applyFont="1" applyFill="1" applyAlignment="1">
      <alignment horizontal="center"/>
    </xf>
    <xf numFmtId="37" fontId="42" fillId="7" borderId="0" xfId="0" applyNumberFormat="1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31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0" fontId="22" fillId="7" borderId="0" xfId="0" applyFont="1" applyFill="1" applyAlignment="1">
      <alignment horizontal="center"/>
    </xf>
    <xf numFmtId="0" fontId="45" fillId="3" borderId="0" xfId="0" applyFont="1" applyFill="1" applyAlignment="1">
      <alignment horizontal="center"/>
    </xf>
    <xf numFmtId="0" fontId="45" fillId="0" borderId="0" xfId="0" applyFont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 wrapText="1"/>
    </xf>
    <xf numFmtId="37" fontId="6" fillId="9" borderId="8" xfId="0" applyNumberFormat="1" applyFont="1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6" fillId="9" borderId="13" xfId="0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0" fontId="6" fillId="9" borderId="0" xfId="0" applyFont="1" applyFill="1" applyAlignment="1">
      <alignment horizontal="center" wrapText="1"/>
    </xf>
    <xf numFmtId="37" fontId="6" fillId="9" borderId="0" xfId="0" applyNumberFormat="1" applyFont="1" applyFill="1" applyAlignment="1">
      <alignment horizontal="center"/>
    </xf>
    <xf numFmtId="0" fontId="6" fillId="12" borderId="0" xfId="0" applyFont="1" applyFill="1" applyAlignment="1">
      <alignment horizontal="center" wrapText="1"/>
    </xf>
    <xf numFmtId="0" fontId="6" fillId="9" borderId="10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37" fontId="6" fillId="9" borderId="11" xfId="0" applyNumberFormat="1" applyFont="1" applyFill="1" applyBorder="1" applyAlignment="1">
      <alignment horizontal="center"/>
    </xf>
    <xf numFmtId="0" fontId="6" fillId="12" borderId="11" xfId="0" applyFont="1" applyFill="1" applyBorder="1" applyAlignment="1">
      <alignment horizontal="center" wrapText="1"/>
    </xf>
    <xf numFmtId="0" fontId="6" fillId="9" borderId="5" xfId="0" applyFont="1" applyFill="1" applyBorder="1" applyAlignment="1">
      <alignment horizontal="center"/>
    </xf>
    <xf numFmtId="37" fontId="46" fillId="7" borderId="0" xfId="0" applyNumberFormat="1" applyFont="1" applyFill="1" applyAlignment="1">
      <alignment horizontal="center" vertical="justify"/>
    </xf>
    <xf numFmtId="37" fontId="10" fillId="7" borderId="0" xfId="9" applyNumberFormat="1" applyFont="1" applyFill="1" applyBorder="1" applyAlignment="1">
      <alignment vertical="justify"/>
    </xf>
    <xf numFmtId="37" fontId="3" fillId="7" borderId="0" xfId="0" applyNumberFormat="1" applyFont="1" applyFill="1" applyAlignment="1">
      <alignment horizontal="center" vertical="top"/>
    </xf>
    <xf numFmtId="37" fontId="10" fillId="7" borderId="0" xfId="9" applyNumberFormat="1" applyFont="1" applyFill="1" applyBorder="1" applyAlignment="1">
      <alignment horizontal="center" vertical="justify"/>
    </xf>
    <xf numFmtId="39" fontId="3" fillId="7" borderId="0" xfId="0" applyNumberFormat="1" applyFont="1" applyFill="1" applyAlignment="1">
      <alignment horizontal="center" vertical="top"/>
    </xf>
    <xf numFmtId="37" fontId="10" fillId="7" borderId="0" xfId="0" applyNumberFormat="1" applyFont="1" applyFill="1" applyAlignment="1">
      <alignment horizontal="center" vertical="justify"/>
    </xf>
    <xf numFmtId="165" fontId="10" fillId="7" borderId="0" xfId="9" applyNumberFormat="1" applyFont="1" applyFill="1" applyBorder="1" applyAlignment="1">
      <alignment horizontal="center" vertical="justify"/>
    </xf>
    <xf numFmtId="37" fontId="46" fillId="7" borderId="0" xfId="9" applyNumberFormat="1" applyFont="1" applyFill="1" applyBorder="1" applyAlignment="1">
      <alignment vertical="justify"/>
    </xf>
    <xf numFmtId="39" fontId="10" fillId="7" borderId="0" xfId="0" applyNumberFormat="1" applyFont="1" applyFill="1" applyAlignment="1" applyProtection="1">
      <alignment horizontal="center" vertical="justify"/>
      <protection locked="0"/>
    </xf>
    <xf numFmtId="37" fontId="4" fillId="7" borderId="0" xfId="9" applyNumberFormat="1" applyFont="1" applyFill="1" applyBorder="1" applyAlignment="1">
      <alignment vertical="justify"/>
    </xf>
    <xf numFmtId="0" fontId="2" fillId="7" borderId="0" xfId="0" applyFont="1" applyFill="1" applyAlignment="1">
      <alignment vertical="top"/>
    </xf>
    <xf numFmtId="0" fontId="4" fillId="7" borderId="0" xfId="0" applyFont="1" applyFill="1" applyAlignment="1">
      <alignment horizontal="left"/>
    </xf>
    <xf numFmtId="37" fontId="46" fillId="7" borderId="0" xfId="0" applyNumberFormat="1" applyFont="1" applyFill="1" applyAlignment="1">
      <alignment horizontal="center"/>
    </xf>
    <xf numFmtId="170" fontId="46" fillId="7" borderId="0" xfId="9" applyNumberFormat="1" applyFont="1" applyFill="1" applyAlignment="1" applyProtection="1">
      <alignment horizontal="center" vertical="justify"/>
    </xf>
    <xf numFmtId="0" fontId="3" fillId="7" borderId="0" xfId="0" applyFont="1" applyFill="1" applyAlignment="1">
      <alignment horizontal="left" vertical="top"/>
    </xf>
    <xf numFmtId="43" fontId="10" fillId="7" borderId="0" xfId="9" applyFont="1" applyFill="1" applyBorder="1" applyAlignment="1">
      <alignment horizontal="center" vertical="justify"/>
    </xf>
    <xf numFmtId="1" fontId="10" fillId="7" borderId="0" xfId="9" applyNumberFormat="1" applyFont="1" applyFill="1" applyAlignment="1" applyProtection="1">
      <alignment horizontal="center" vertical="justify"/>
    </xf>
    <xf numFmtId="0" fontId="10" fillId="7" borderId="0" xfId="0" applyFont="1" applyFill="1" applyAlignment="1">
      <alignment horizontal="left"/>
    </xf>
    <xf numFmtId="37" fontId="10" fillId="7" borderId="0" xfId="0" applyNumberFormat="1" applyFont="1" applyFill="1" applyAlignment="1" applyProtection="1">
      <alignment horizontal="center" vertical="justify"/>
      <protection locked="0"/>
    </xf>
    <xf numFmtId="170" fontId="10" fillId="7" borderId="0" xfId="9" applyNumberFormat="1" applyFont="1" applyFill="1" applyAlignment="1" applyProtection="1">
      <alignment horizontal="center" vertical="justify"/>
    </xf>
    <xf numFmtId="0" fontId="47" fillId="7" borderId="1" xfId="0" applyFont="1" applyFill="1" applyBorder="1" applyAlignment="1">
      <alignment horizontal="left" vertical="top"/>
    </xf>
    <xf numFmtId="37" fontId="4" fillId="7" borderId="1" xfId="0" applyNumberFormat="1" applyFont="1" applyFill="1" applyBorder="1" applyAlignment="1">
      <alignment horizontal="center" vertical="justify"/>
    </xf>
    <xf numFmtId="37" fontId="2" fillId="7" borderId="1" xfId="0" applyNumberFormat="1" applyFont="1" applyFill="1" applyBorder="1" applyAlignment="1">
      <alignment horizontal="center" vertical="justify"/>
    </xf>
    <xf numFmtId="37" fontId="4" fillId="7" borderId="1" xfId="0" applyNumberFormat="1" applyFont="1" applyFill="1" applyBorder="1" applyAlignment="1">
      <alignment horizontal="center"/>
    </xf>
    <xf numFmtId="0" fontId="6" fillId="13" borderId="9" xfId="0" applyFont="1" applyFill="1" applyBorder="1"/>
    <xf numFmtId="0" fontId="48" fillId="0" borderId="0" xfId="0" applyFont="1"/>
    <xf numFmtId="0" fontId="50" fillId="7" borderId="0" xfId="0" applyFont="1" applyFill="1"/>
    <xf numFmtId="0" fontId="60" fillId="7" borderId="0" xfId="0" applyFont="1" applyFill="1"/>
    <xf numFmtId="0" fontId="60" fillId="0" borderId="0" xfId="0" applyFont="1"/>
    <xf numFmtId="43" fontId="61" fillId="5" borderId="0" xfId="1" applyFont="1" applyFill="1" applyAlignment="1">
      <alignment vertical="top" readingOrder="1"/>
    </xf>
    <xf numFmtId="43" fontId="62" fillId="4" borderId="0" xfId="1" applyFont="1" applyFill="1" applyAlignment="1">
      <alignment vertical="top" readingOrder="1"/>
    </xf>
    <xf numFmtId="164" fontId="63" fillId="4" borderId="0" xfId="1" applyNumberFormat="1" applyFont="1" applyFill="1" applyBorder="1" applyAlignment="1">
      <alignment vertical="top"/>
    </xf>
    <xf numFmtId="0" fontId="64" fillId="0" borderId="0" xfId="0" applyFont="1" applyAlignment="1">
      <alignment horizontal="left" vertical="center"/>
    </xf>
    <xf numFmtId="43" fontId="64" fillId="4" borderId="0" xfId="1" applyFont="1" applyFill="1" applyAlignment="1">
      <alignment vertical="top" readingOrder="1"/>
    </xf>
    <xf numFmtId="164" fontId="65" fillId="4" borderId="0" xfId="1" applyNumberFormat="1" applyFont="1" applyFill="1" applyBorder="1" applyAlignment="1">
      <alignment vertical="top"/>
    </xf>
    <xf numFmtId="164" fontId="64" fillId="4" borderId="0" xfId="1" applyNumberFormat="1" applyFont="1" applyFill="1" applyBorder="1" applyAlignment="1">
      <alignment vertical="top"/>
    </xf>
    <xf numFmtId="164" fontId="64" fillId="6" borderId="0" xfId="1" applyNumberFormat="1" applyFont="1" applyFill="1" applyBorder="1" applyAlignment="1">
      <alignment vertical="top"/>
    </xf>
    <xf numFmtId="0" fontId="66" fillId="0" borderId="0" xfId="0" applyFont="1" applyAlignment="1">
      <alignment horizontal="left" vertical="center"/>
    </xf>
    <xf numFmtId="43" fontId="64" fillId="0" borderId="0" xfId="1" applyFont="1" applyFill="1" applyBorder="1" applyAlignment="1">
      <alignment horizontal="left" vertical="top" readingOrder="1"/>
    </xf>
    <xf numFmtId="164" fontId="63" fillId="6" borderId="0" xfId="1" applyNumberFormat="1" applyFont="1" applyFill="1" applyBorder="1" applyAlignment="1">
      <alignment vertical="top"/>
    </xf>
    <xf numFmtId="164" fontId="62" fillId="4" borderId="0" xfId="1" applyNumberFormat="1" applyFont="1" applyFill="1" applyBorder="1" applyAlignment="1">
      <alignment vertical="top"/>
    </xf>
    <xf numFmtId="0" fontId="61" fillId="2" borderId="0" xfId="0" applyFont="1" applyFill="1" applyAlignment="1">
      <alignment vertical="top"/>
    </xf>
    <xf numFmtId="164" fontId="61" fillId="4" borderId="0" xfId="1" applyNumberFormat="1" applyFont="1" applyFill="1" applyBorder="1" applyAlignment="1">
      <alignment vertical="top"/>
    </xf>
    <xf numFmtId="0" fontId="60" fillId="11" borderId="0" xfId="0" applyFont="1" applyFill="1" applyAlignment="1">
      <alignment vertical="top"/>
    </xf>
    <xf numFmtId="43" fontId="61" fillId="10" borderId="0" xfId="1" applyFont="1" applyFill="1" applyAlignment="1">
      <alignment vertical="top" wrapText="1" readingOrder="1"/>
    </xf>
    <xf numFmtId="164" fontId="64" fillId="4" borderId="0" xfId="1" applyNumberFormat="1" applyFont="1" applyFill="1" applyAlignment="1">
      <alignment vertical="top"/>
    </xf>
    <xf numFmtId="164" fontId="65" fillId="4" borderId="0" xfId="1" applyNumberFormat="1" applyFont="1" applyFill="1" applyAlignment="1">
      <alignment vertical="top"/>
    </xf>
    <xf numFmtId="164" fontId="65" fillId="6" borderId="0" xfId="1" applyNumberFormat="1" applyFont="1" applyFill="1" applyBorder="1" applyAlignment="1">
      <alignment vertical="top"/>
    </xf>
    <xf numFmtId="164" fontId="60" fillId="4" borderId="0" xfId="1" applyNumberFormat="1" applyFont="1" applyFill="1" applyAlignment="1">
      <alignment vertical="top"/>
    </xf>
    <xf numFmtId="0" fontId="60" fillId="2" borderId="0" xfId="0" applyFont="1" applyFill="1" applyAlignment="1">
      <alignment vertical="top"/>
    </xf>
    <xf numFmtId="43" fontId="60" fillId="4" borderId="0" xfId="1" applyFont="1" applyFill="1" applyAlignment="1">
      <alignment vertical="top" wrapText="1" readingOrder="1"/>
    </xf>
    <xf numFmtId="164" fontId="61" fillId="4" borderId="0" xfId="1" applyNumberFormat="1" applyFont="1" applyFill="1" applyAlignment="1">
      <alignment vertical="top"/>
    </xf>
    <xf numFmtId="43" fontId="61" fillId="10" borderId="0" xfId="1" applyFont="1" applyFill="1" applyAlignment="1">
      <alignment vertical="top" readingOrder="1"/>
    </xf>
    <xf numFmtId="0" fontId="60" fillId="11" borderId="0" xfId="0" applyFont="1" applyFill="1" applyAlignment="1">
      <alignment vertical="top" wrapText="1"/>
    </xf>
    <xf numFmtId="43" fontId="64" fillId="7" borderId="0" xfId="1" applyFont="1" applyFill="1" applyAlignment="1">
      <alignment vertical="top" readingOrder="1"/>
    </xf>
    <xf numFmtId="164" fontId="64" fillId="7" borderId="0" xfId="1" applyNumberFormat="1" applyFont="1" applyFill="1" applyBorder="1" applyAlignment="1">
      <alignment vertical="top"/>
    </xf>
    <xf numFmtId="164" fontId="65" fillId="7" borderId="0" xfId="1" applyNumberFormat="1" applyFont="1" applyFill="1" applyBorder="1" applyAlignment="1">
      <alignment vertical="top"/>
    </xf>
    <xf numFmtId="164" fontId="64" fillId="7" borderId="0" xfId="1" applyNumberFormat="1" applyFont="1" applyFill="1" applyAlignment="1">
      <alignment vertical="top"/>
    </xf>
    <xf numFmtId="164" fontId="67" fillId="4" borderId="0" xfId="1" applyNumberFormat="1" applyFont="1" applyFill="1" applyBorder="1" applyAlignment="1">
      <alignment vertical="top"/>
    </xf>
    <xf numFmtId="43" fontId="62" fillId="4" borderId="0" xfId="1" applyFont="1" applyFill="1" applyAlignment="1">
      <alignment vertical="top" wrapText="1" readingOrder="1"/>
    </xf>
    <xf numFmtId="43" fontId="61" fillId="4" borderId="0" xfId="1" applyFont="1" applyFill="1" applyBorder="1" applyAlignment="1">
      <alignment vertical="top" wrapText="1" readingOrder="1"/>
    </xf>
    <xf numFmtId="171" fontId="65" fillId="6" borderId="0" xfId="1" applyNumberFormat="1" applyFont="1" applyFill="1" applyBorder="1" applyAlignment="1">
      <alignment vertical="top"/>
    </xf>
    <xf numFmtId="171" fontId="64" fillId="6" borderId="0" xfId="1" applyNumberFormat="1" applyFont="1" applyFill="1" applyBorder="1" applyAlignment="1">
      <alignment vertical="top"/>
    </xf>
    <xf numFmtId="171" fontId="64" fillId="7" borderId="0" xfId="1" applyNumberFormat="1" applyFont="1" applyFill="1" applyBorder="1" applyAlignment="1">
      <alignment vertical="top"/>
    </xf>
    <xf numFmtId="171" fontId="65" fillId="7" borderId="0" xfId="1" applyNumberFormat="1" applyFont="1" applyFill="1" applyBorder="1" applyAlignment="1">
      <alignment vertical="top"/>
    </xf>
    <xf numFmtId="43" fontId="60" fillId="0" borderId="0" xfId="1" applyFont="1"/>
    <xf numFmtId="43" fontId="60" fillId="0" borderId="0" xfId="1" applyFont="1" applyFill="1"/>
    <xf numFmtId="43" fontId="64" fillId="0" borderId="0" xfId="1" applyFont="1" applyFill="1" applyAlignment="1">
      <alignment vertical="top"/>
    </xf>
    <xf numFmtId="0" fontId="60" fillId="0" borderId="0" xfId="0" applyFont="1" applyAlignment="1">
      <alignment horizontal="left"/>
    </xf>
    <xf numFmtId="43" fontId="58" fillId="0" borderId="0" xfId="1" applyFont="1"/>
    <xf numFmtId="43" fontId="58" fillId="0" borderId="0" xfId="0" applyNumberFormat="1" applyFont="1"/>
    <xf numFmtId="43" fontId="58" fillId="0" borderId="0" xfId="1" applyFont="1" applyAlignment="1">
      <alignment horizontal="center"/>
    </xf>
    <xf numFmtId="0" fontId="48" fillId="0" borderId="0" xfId="0" applyFont="1" applyAlignment="1">
      <alignment horizontal="left"/>
    </xf>
    <xf numFmtId="39" fontId="49" fillId="4" borderId="0" xfId="16" applyFont="1" applyFill="1"/>
    <xf numFmtId="39" fontId="54" fillId="3" borderId="0" xfId="16" applyFont="1" applyFill="1"/>
    <xf numFmtId="39" fontId="57" fillId="10" borderId="0" xfId="16" applyFont="1" applyFill="1" applyAlignment="1">
      <alignment horizontal="left"/>
    </xf>
    <xf numFmtId="37" fontId="50" fillId="7" borderId="0" xfId="16" applyNumberFormat="1" applyFont="1" applyFill="1" applyAlignment="1">
      <alignment horizontal="left"/>
    </xf>
    <xf numFmtId="37" fontId="50" fillId="6" borderId="0" xfId="16" applyNumberFormat="1" applyFont="1" applyFill="1"/>
    <xf numFmtId="37" fontId="50" fillId="6" borderId="0" xfId="16" applyNumberFormat="1" applyFont="1" applyFill="1" applyAlignment="1">
      <alignment horizontal="left"/>
    </xf>
    <xf numFmtId="37" fontId="57" fillId="6" borderId="0" xfId="16" applyNumberFormat="1" applyFont="1" applyFill="1" applyAlignment="1">
      <alignment horizontal="left"/>
    </xf>
    <xf numFmtId="37" fontId="68" fillId="7" borderId="0" xfId="16" applyNumberFormat="1" applyFont="1" applyFill="1"/>
    <xf numFmtId="37" fontId="68" fillId="6" borderId="0" xfId="16" applyNumberFormat="1" applyFont="1" applyFill="1"/>
    <xf numFmtId="37" fontId="50" fillId="7" borderId="0" xfId="16" applyNumberFormat="1" applyFont="1" applyFill="1"/>
    <xf numFmtId="37" fontId="57" fillId="7" borderId="0" xfId="16" applyNumberFormat="1" applyFont="1" applyFill="1"/>
    <xf numFmtId="37" fontId="57" fillId="6" borderId="0" xfId="16" applyNumberFormat="1" applyFont="1" applyFill="1"/>
    <xf numFmtId="37" fontId="57" fillId="7" borderId="0" xfId="16" applyNumberFormat="1" applyFont="1" applyFill="1" applyAlignment="1">
      <alignment horizontal="right"/>
    </xf>
    <xf numFmtId="39" fontId="69" fillId="7" borderId="0" xfId="16" applyFont="1" applyFill="1" applyAlignment="1">
      <alignment horizontal="left"/>
    </xf>
    <xf numFmtId="39" fontId="69" fillId="7" borderId="0" xfId="16" applyFont="1" applyFill="1" applyAlignment="1">
      <alignment horizontal="center"/>
    </xf>
    <xf numFmtId="39" fontId="50" fillId="7" borderId="0" xfId="16" applyFont="1" applyFill="1" applyAlignment="1">
      <alignment horizontal="left"/>
    </xf>
    <xf numFmtId="39" fontId="50" fillId="7" borderId="0" xfId="16" applyFont="1" applyFill="1" applyAlignment="1">
      <alignment horizontal="center"/>
    </xf>
    <xf numFmtId="37" fontId="51" fillId="3" borderId="0" xfId="16" applyNumberFormat="1" applyFont="1" applyFill="1"/>
    <xf numFmtId="37" fontId="57" fillId="6" borderId="0" xfId="16" applyNumberFormat="1" applyFont="1" applyFill="1" applyAlignment="1">
      <alignment horizontal="center"/>
    </xf>
    <xf numFmtId="37" fontId="57" fillId="6" borderId="0" xfId="16" applyNumberFormat="1" applyFont="1" applyFill="1" applyAlignment="1">
      <alignment horizontal="center" vertical="center"/>
    </xf>
    <xf numFmtId="37" fontId="57" fillId="10" borderId="0" xfId="16" applyNumberFormat="1" applyFont="1" applyFill="1"/>
    <xf numFmtId="37" fontId="70" fillId="6" borderId="0" xfId="16" applyNumberFormat="1" applyFont="1" applyFill="1" applyAlignment="1">
      <alignment horizontal="left"/>
    </xf>
    <xf numFmtId="165" fontId="50" fillId="7" borderId="0" xfId="15" applyNumberFormat="1" applyFont="1" applyFill="1"/>
    <xf numFmtId="37" fontId="68" fillId="6" borderId="0" xfId="16" applyNumberFormat="1" applyFont="1" applyFill="1" applyAlignment="1">
      <alignment horizontal="left"/>
    </xf>
    <xf numFmtId="39" fontId="69" fillId="7" borderId="0" xfId="16" applyFont="1" applyFill="1"/>
    <xf numFmtId="39" fontId="50" fillId="7" borderId="0" xfId="16" applyFont="1" applyFill="1"/>
    <xf numFmtId="39" fontId="50" fillId="6" borderId="0" xfId="16" applyFont="1" applyFill="1"/>
    <xf numFmtId="39" fontId="57" fillId="6" borderId="0" xfId="16" applyFont="1" applyFill="1"/>
    <xf numFmtId="39" fontId="50" fillId="6" borderId="0" xfId="16" applyFont="1" applyFill="1" applyAlignment="1">
      <alignment horizontal="left"/>
    </xf>
    <xf numFmtId="0" fontId="74" fillId="0" borderId="0" xfId="0" applyFont="1"/>
    <xf numFmtId="0" fontId="75" fillId="0" borderId="0" xfId="0" applyFont="1"/>
    <xf numFmtId="0" fontId="75" fillId="0" borderId="11" xfId="0" applyFont="1" applyBorder="1"/>
    <xf numFmtId="0" fontId="76" fillId="0" borderId="0" xfId="0" applyFont="1"/>
    <xf numFmtId="0" fontId="77" fillId="0" borderId="0" xfId="0" applyFont="1"/>
    <xf numFmtId="0" fontId="78" fillId="0" borderId="0" xfId="0" applyFont="1"/>
    <xf numFmtId="0" fontId="0" fillId="0" borderId="14" xfId="0" applyBorder="1" applyAlignment="1">
      <alignment vertical="center"/>
    </xf>
    <xf numFmtId="0" fontId="58" fillId="0" borderId="15" xfId="0" applyFont="1" applyBorder="1" applyAlignment="1">
      <alignment horizontal="center" vertical="center"/>
    </xf>
    <xf numFmtId="0" fontId="75" fillId="0" borderId="14" xfId="0" applyFont="1" applyBorder="1" applyAlignment="1">
      <alignment horizontal="left" vertical="center"/>
    </xf>
    <xf numFmtId="0" fontId="75" fillId="0" borderId="9" xfId="0" applyFont="1" applyBorder="1" applyAlignment="1">
      <alignment horizontal="left" vertical="center"/>
    </xf>
    <xf numFmtId="0" fontId="75" fillId="0" borderId="4" xfId="0" applyFont="1" applyBorder="1" applyAlignment="1">
      <alignment horizontal="left" vertical="center"/>
    </xf>
    <xf numFmtId="16" fontId="76" fillId="0" borderId="0" xfId="0" applyNumberFormat="1" applyFont="1" applyAlignment="1">
      <alignment horizontal="left" vertical="center"/>
    </xf>
    <xf numFmtId="0" fontId="76" fillId="0" borderId="0" xfId="0" applyFont="1" applyAlignment="1">
      <alignment horizontal="left" vertical="center"/>
    </xf>
    <xf numFmtId="0" fontId="77" fillId="0" borderId="0" xfId="0" applyFont="1" applyAlignment="1">
      <alignment horizontal="left" vertical="center"/>
    </xf>
    <xf numFmtId="0" fontId="78" fillId="0" borderId="0" xfId="0" applyFont="1" applyAlignment="1">
      <alignment horizontal="left" vertical="center"/>
    </xf>
    <xf numFmtId="0" fontId="48" fillId="15" borderId="0" xfId="0" applyFont="1" applyFill="1" applyAlignment="1">
      <alignment horizontal="left"/>
    </xf>
    <xf numFmtId="0" fontId="48" fillId="16" borderId="0" xfId="0" applyFont="1" applyFill="1" applyAlignment="1">
      <alignment horizontal="left"/>
    </xf>
    <xf numFmtId="0" fontId="48" fillId="17" borderId="0" xfId="0" applyFont="1" applyFill="1" applyAlignment="1">
      <alignment horizontal="left"/>
    </xf>
    <xf numFmtId="0" fontId="48" fillId="18" borderId="0" xfId="0" applyFont="1" applyFill="1" applyAlignment="1">
      <alignment horizontal="left"/>
    </xf>
    <xf numFmtId="0" fontId="59" fillId="14" borderId="0" xfId="0" applyFont="1" applyFill="1" applyAlignment="1">
      <alignment horizontal="left"/>
    </xf>
    <xf numFmtId="0" fontId="71" fillId="0" borderId="15" xfId="0" applyFont="1" applyBorder="1"/>
    <xf numFmtId="0" fontId="71" fillId="0" borderId="10" xfId="0" applyFont="1" applyBorder="1"/>
    <xf numFmtId="0" fontId="71" fillId="0" borderId="5" xfId="0" applyFont="1" applyBorder="1"/>
    <xf numFmtId="0" fontId="71" fillId="0" borderId="0" xfId="0" applyFont="1"/>
    <xf numFmtId="0" fontId="78" fillId="0" borderId="0" xfId="0" applyFont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75" fillId="0" borderId="11" xfId="0" applyFont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75" fillId="0" borderId="8" xfId="0" applyFont="1" applyBorder="1" applyAlignment="1">
      <alignment horizontal="center" vertical="center"/>
    </xf>
    <xf numFmtId="39" fontId="55" fillId="4" borderId="0" xfId="16" applyFont="1" applyFill="1" applyAlignment="1">
      <alignment horizontal="center"/>
    </xf>
    <xf numFmtId="16" fontId="79" fillId="0" borderId="0" xfId="0" applyNumberFormat="1" applyFont="1" applyAlignment="1">
      <alignment horizontal="left" vertical="center"/>
    </xf>
    <xf numFmtId="0" fontId="79" fillId="0" borderId="0" xfId="0" applyFont="1" applyAlignment="1">
      <alignment horizontal="center" vertical="center"/>
    </xf>
    <xf numFmtId="0" fontId="79" fillId="0" borderId="0" xfId="0" applyFont="1" applyAlignment="1">
      <alignment horizontal="left" vertical="center"/>
    </xf>
    <xf numFmtId="49" fontId="53" fillId="13" borderId="0" xfId="1" applyNumberFormat="1" applyFont="1" applyFill="1" applyBorder="1" applyAlignment="1" applyProtection="1">
      <alignment horizontal="left" vertical="center"/>
    </xf>
    <xf numFmtId="37" fontId="50" fillId="6" borderId="0" xfId="16" applyNumberFormat="1" applyFont="1" applyFill="1" applyAlignment="1">
      <alignment horizontal="left" wrapText="1"/>
    </xf>
    <xf numFmtId="37" fontId="55" fillId="4" borderId="0" xfId="16" applyNumberFormat="1" applyFont="1" applyFill="1"/>
    <xf numFmtId="43" fontId="49" fillId="4" borderId="0" xfId="1" applyFont="1" applyFill="1"/>
    <xf numFmtId="49" fontId="53" fillId="13" borderId="0" xfId="1" applyNumberFormat="1" applyFont="1" applyFill="1" applyBorder="1" applyAlignment="1" applyProtection="1">
      <alignment vertical="center"/>
    </xf>
    <xf numFmtId="37" fontId="49" fillId="4" borderId="0" xfId="16" applyNumberFormat="1" applyFont="1" applyFill="1"/>
    <xf numFmtId="37" fontId="48" fillId="6" borderId="0" xfId="16" applyNumberFormat="1" applyFont="1" applyFill="1"/>
    <xf numFmtId="37" fontId="56" fillId="7" borderId="0" xfId="16" applyNumberFormat="1" applyFont="1" applyFill="1"/>
    <xf numFmtId="37" fontId="52" fillId="6" borderId="0" xfId="16" applyNumberFormat="1" applyFont="1" applyFill="1"/>
    <xf numFmtId="37" fontId="50" fillId="6" borderId="0" xfId="16" applyNumberFormat="1" applyFont="1" applyFill="1" applyAlignment="1">
      <alignment horizontal="center"/>
    </xf>
    <xf numFmtId="37" fontId="52" fillId="7" borderId="0" xfId="16" applyNumberFormat="1" applyFont="1" applyFill="1"/>
    <xf numFmtId="0" fontId="18" fillId="8" borderId="0" xfId="0" applyFont="1" applyFill="1" applyAlignment="1">
      <alignment horizontal="center" vertical="top"/>
    </xf>
    <xf numFmtId="44" fontId="16" fillId="3" borderId="0" xfId="2" applyFont="1" applyFill="1" applyAlignment="1" applyProtection="1">
      <alignment horizontal="center"/>
    </xf>
    <xf numFmtId="39" fontId="16" fillId="3" borderId="0" xfId="0" applyNumberFormat="1" applyFont="1" applyFill="1" applyAlignment="1">
      <alignment horizontal="center"/>
    </xf>
    <xf numFmtId="39" fontId="55" fillId="4" borderId="0" xfId="16" applyFont="1" applyFill="1" applyAlignment="1">
      <alignment horizontal="center"/>
    </xf>
    <xf numFmtId="166" fontId="61" fillId="3" borderId="0" xfId="0" applyNumberFormat="1" applyFont="1" applyFill="1" applyAlignment="1">
      <alignment horizontal="center"/>
    </xf>
    <xf numFmtId="43" fontId="61" fillId="10" borderId="0" xfId="1" applyFont="1" applyFill="1" applyAlignment="1">
      <alignment horizontal="left" wrapText="1" readingOrder="1"/>
    </xf>
    <xf numFmtId="43" fontId="61" fillId="5" borderId="0" xfId="1" applyFont="1" applyFill="1" applyAlignment="1">
      <alignment horizontal="center" vertical="top" readingOrder="1"/>
    </xf>
    <xf numFmtId="0" fontId="7" fillId="7" borderId="0" xfId="0" applyFont="1" applyFill="1" applyAlignment="1">
      <alignment horizontal="center"/>
    </xf>
    <xf numFmtId="37" fontId="23" fillId="7" borderId="1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3" fillId="0" borderId="9" xfId="0" applyFont="1" applyBorder="1" applyAlignment="1">
      <alignment horizontal="center" vertical="center"/>
    </xf>
    <xf numFmtId="0" fontId="73" fillId="0" borderId="10" xfId="0" applyFont="1" applyBorder="1" applyAlignment="1">
      <alignment horizontal="center" vertical="center"/>
    </xf>
    <xf numFmtId="0" fontId="73" fillId="0" borderId="4" xfId="0" applyFont="1" applyBorder="1" applyAlignment="1">
      <alignment horizontal="center" vertical="center"/>
    </xf>
    <xf numFmtId="0" fontId="73" fillId="0" borderId="5" xfId="0" applyFont="1" applyBorder="1" applyAlignment="1">
      <alignment horizontal="center" vertical="center"/>
    </xf>
  </cellXfs>
  <cellStyles count="17">
    <cellStyle name="Millares" xfId="1" builtinId="3"/>
    <cellStyle name="Millares 2" xfId="5" xr:uid="{00000000-0005-0000-0000-000001000000}"/>
    <cellStyle name="Millares 2 2" xfId="15" xr:uid="{00000000-0005-0000-0000-000002000000}"/>
    <cellStyle name="Millares 3" xfId="3" xr:uid="{00000000-0005-0000-0000-000003000000}"/>
    <cellStyle name="Millares 4" xfId="6" xr:uid="{00000000-0005-0000-0000-000004000000}"/>
    <cellStyle name="Millares 5" xfId="9" xr:uid="{00000000-0005-0000-0000-000005000000}"/>
    <cellStyle name="Moneda" xfId="2" builtinId="4"/>
    <cellStyle name="Normal" xfId="0" builtinId="0"/>
    <cellStyle name="Normal 2" xfId="4" xr:uid="{00000000-0005-0000-0000-000008000000}"/>
    <cellStyle name="Normal 2 2" xfId="10" xr:uid="{00000000-0005-0000-0000-000009000000}"/>
    <cellStyle name="Normal 2 3" xfId="16" xr:uid="{00000000-0005-0000-0000-00000A000000}"/>
    <cellStyle name="Normal 3" xfId="7" xr:uid="{00000000-0005-0000-0000-00000B000000}"/>
    <cellStyle name="Normal 3 2" xfId="11" xr:uid="{00000000-0005-0000-0000-00000C000000}"/>
    <cellStyle name="Normal 3 3" xfId="14" xr:uid="{00000000-0005-0000-0000-00000D000000}"/>
    <cellStyle name="Normal 4" xfId="12" xr:uid="{00000000-0005-0000-0000-00000E000000}"/>
    <cellStyle name="Normal 5" xfId="8" xr:uid="{00000000-0005-0000-0000-00000F000000}"/>
    <cellStyle name="Porcentaje 2" xfId="13" xr:uid="{00000000-0005-0000-0000-000011000000}"/>
  </cellStyles>
  <dxfs count="0"/>
  <tableStyles count="0" defaultTableStyle="TableStyleMedium2" defaultPivotStyle="PivotStyleLight16"/>
  <colors>
    <mruColors>
      <color rgb="FFC0C0C0"/>
      <color rgb="FFD9D9D9"/>
      <color rgb="FFFF33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8AA7.DB63EED0" TargetMode="External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197</xdr:row>
      <xdr:rowOff>0</xdr:rowOff>
    </xdr:from>
    <xdr:to>
      <xdr:col>1</xdr:col>
      <xdr:colOff>447675</xdr:colOff>
      <xdr:row>197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0"/>
          <a:ext cx="1228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</xdr:row>
      <xdr:rowOff>28575</xdr:rowOff>
    </xdr:from>
    <xdr:to>
      <xdr:col>1</xdr:col>
      <xdr:colOff>923925</xdr:colOff>
      <xdr:row>4</xdr:row>
      <xdr:rowOff>77469</xdr:rowOff>
    </xdr:to>
    <xdr:pic>
      <xdr:nvPicPr>
        <xdr:cNvPr id="8" name="Imagen 7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0" y="190500"/>
          <a:ext cx="1495425" cy="6489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60</xdr:row>
      <xdr:rowOff>66675</xdr:rowOff>
    </xdr:from>
    <xdr:to>
      <xdr:col>1</xdr:col>
      <xdr:colOff>542925</xdr:colOff>
      <xdr:row>63</xdr:row>
      <xdr:rowOff>98425</xdr:rowOff>
    </xdr:to>
    <xdr:pic>
      <xdr:nvPicPr>
        <xdr:cNvPr id="9" name="Imagen 8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10925175"/>
          <a:ext cx="1190625" cy="619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57150</xdr:colOff>
      <xdr:row>109</xdr:row>
      <xdr:rowOff>9525</xdr:rowOff>
    </xdr:from>
    <xdr:to>
      <xdr:col>1</xdr:col>
      <xdr:colOff>314325</xdr:colOff>
      <xdr:row>112</xdr:row>
      <xdr:rowOff>7620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57150" y="178212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162</xdr:row>
      <xdr:rowOff>38100</xdr:rowOff>
    </xdr:from>
    <xdr:to>
      <xdr:col>1</xdr:col>
      <xdr:colOff>371475</xdr:colOff>
      <xdr:row>165</xdr:row>
      <xdr:rowOff>36195</xdr:rowOff>
    </xdr:to>
    <xdr:pic>
      <xdr:nvPicPr>
        <xdr:cNvPr id="11" name="Imagen 10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31108650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222</xdr:row>
      <xdr:rowOff>19050</xdr:rowOff>
    </xdr:from>
    <xdr:to>
      <xdr:col>1</xdr:col>
      <xdr:colOff>295275</xdr:colOff>
      <xdr:row>225</xdr:row>
      <xdr:rowOff>17145</xdr:rowOff>
    </xdr:to>
    <xdr:pic>
      <xdr:nvPicPr>
        <xdr:cNvPr id="12" name="Imagen 11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8100" y="356901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6</xdr:row>
      <xdr:rowOff>3177</xdr:rowOff>
    </xdr:from>
    <xdr:to>
      <xdr:col>0</xdr:col>
      <xdr:colOff>742950</xdr:colOff>
      <xdr:row>53</xdr:row>
      <xdr:rowOff>19050</xdr:rowOff>
    </xdr:to>
    <xdr:pic>
      <xdr:nvPicPr>
        <xdr:cNvPr id="13" name="Imagen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03327"/>
          <a:ext cx="704850" cy="9417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65</xdr:row>
      <xdr:rowOff>3173</xdr:rowOff>
    </xdr:from>
    <xdr:to>
      <xdr:col>0</xdr:col>
      <xdr:colOff>733425</xdr:colOff>
      <xdr:row>105</xdr:row>
      <xdr:rowOff>76199</xdr:rowOff>
    </xdr:to>
    <xdr:pic>
      <xdr:nvPicPr>
        <xdr:cNvPr id="14" name="Imagen 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2404723"/>
          <a:ext cx="704850" cy="808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113</xdr:row>
      <xdr:rowOff>3174</xdr:rowOff>
    </xdr:from>
    <xdr:to>
      <xdr:col>0</xdr:col>
      <xdr:colOff>752475</xdr:colOff>
      <xdr:row>151</xdr:row>
      <xdr:rowOff>9525</xdr:rowOff>
    </xdr:to>
    <xdr:pic>
      <xdr:nvPicPr>
        <xdr:cNvPr id="15" name="Imagen 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2625049"/>
          <a:ext cx="704850" cy="7607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166</xdr:row>
      <xdr:rowOff>12700</xdr:rowOff>
    </xdr:from>
    <xdr:to>
      <xdr:col>0</xdr:col>
      <xdr:colOff>742950</xdr:colOff>
      <xdr:row>210</xdr:row>
      <xdr:rowOff>76199</xdr:rowOff>
    </xdr:to>
    <xdr:pic>
      <xdr:nvPicPr>
        <xdr:cNvPr id="16" name="Imagen 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3235900"/>
          <a:ext cx="704850" cy="8864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225</xdr:row>
      <xdr:rowOff>200023</xdr:rowOff>
    </xdr:from>
    <xdr:to>
      <xdr:col>0</xdr:col>
      <xdr:colOff>742950</xdr:colOff>
      <xdr:row>276</xdr:row>
      <xdr:rowOff>28574</xdr:rowOff>
    </xdr:to>
    <xdr:pic>
      <xdr:nvPicPr>
        <xdr:cNvPr id="17" name="Imagen 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5224698"/>
          <a:ext cx="704850" cy="10039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198</xdr:row>
      <xdr:rowOff>0</xdr:rowOff>
    </xdr:from>
    <xdr:to>
      <xdr:col>1</xdr:col>
      <xdr:colOff>447675</xdr:colOff>
      <xdr:row>198</xdr:row>
      <xdr:rowOff>0</xdr:rowOff>
    </xdr:to>
    <xdr:pic>
      <xdr:nvPicPr>
        <xdr:cNvPr id="18" name="Imagen 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118050"/>
          <a:ext cx="447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155575</xdr:colOff>
      <xdr:row>4</xdr:row>
      <xdr:rowOff>12701</xdr:rowOff>
    </xdr:from>
    <xdr:to>
      <xdr:col>0</xdr:col>
      <xdr:colOff>746125</xdr:colOff>
      <xdr:row>59</xdr:row>
      <xdr:rowOff>125413</xdr:rowOff>
    </xdr:to>
    <xdr:sp macro="" textlink="">
      <xdr:nvSpPr>
        <xdr:cNvPr id="2" name="Rectangle 102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155575" y="889001"/>
          <a:ext cx="590550" cy="10628312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153987</xdr:colOff>
      <xdr:row>64</xdr:row>
      <xdr:rowOff>7939</xdr:rowOff>
    </xdr:from>
    <xdr:to>
      <xdr:col>0</xdr:col>
      <xdr:colOff>715962</xdr:colOff>
      <xdr:row>108</xdr:row>
      <xdr:rowOff>174625</xdr:rowOff>
    </xdr:to>
    <xdr:sp macro="" textlink="">
      <xdr:nvSpPr>
        <xdr:cNvPr id="3" name="Rectangle 1025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153987" y="13371514"/>
          <a:ext cx="561975" cy="9805986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166688</xdr:colOff>
      <xdr:row>0</xdr:row>
      <xdr:rowOff>160134</xdr:rowOff>
    </xdr:from>
    <xdr:to>
      <xdr:col>1</xdr:col>
      <xdr:colOff>492125</xdr:colOff>
      <xdr:row>4</xdr:row>
      <xdr:rowOff>0</xdr:rowOff>
    </xdr:to>
    <xdr:pic>
      <xdr:nvPicPr>
        <xdr:cNvPr id="4" name="Imagen 29" descr="EDITABLE BANCO AGRICOLA_Mesa de trabajo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8" y="160134"/>
          <a:ext cx="1430337" cy="716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60</xdr:row>
      <xdr:rowOff>114300</xdr:rowOff>
    </xdr:from>
    <xdr:to>
      <xdr:col>1</xdr:col>
      <xdr:colOff>601662</xdr:colOff>
      <xdr:row>63</xdr:row>
      <xdr:rowOff>173241</xdr:rowOff>
    </xdr:to>
    <xdr:pic>
      <xdr:nvPicPr>
        <xdr:cNvPr id="5" name="Imagen 29" descr="EDITABLE BANCO AGRICOLA_Mesa de trabajo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2601575"/>
          <a:ext cx="1430337" cy="716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28575</xdr:rowOff>
    </xdr:from>
    <xdr:to>
      <xdr:col>1</xdr:col>
      <xdr:colOff>205380</xdr:colOff>
      <xdr:row>4</xdr:row>
      <xdr:rowOff>9524</xdr:rowOff>
    </xdr:to>
    <xdr:pic>
      <xdr:nvPicPr>
        <xdr:cNvPr id="2" name="Imagen 2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>
          <a:fillRect/>
        </a:stretch>
      </xdr:blipFill>
      <xdr:spPr bwMode="auto">
        <a:xfrm>
          <a:off x="19049" y="28575"/>
          <a:ext cx="1748431" cy="628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R289"/>
  <sheetViews>
    <sheetView zoomScaleNormal="100" workbookViewId="0">
      <selection activeCell="B8" sqref="B8"/>
    </sheetView>
  </sheetViews>
  <sheetFormatPr baseColWidth="10" defaultColWidth="11.42578125" defaultRowHeight="15.75" x14ac:dyDescent="0.25"/>
  <cols>
    <col min="1" max="1" width="11.42578125" style="26"/>
    <col min="2" max="2" width="65.140625" style="10" customWidth="1"/>
    <col min="3" max="4" width="18.7109375" style="10" customWidth="1"/>
    <col min="5" max="6" width="11.42578125" style="9"/>
    <col min="7" max="7" width="19.7109375" style="9" bestFit="1" customWidth="1"/>
    <col min="8" max="18" width="11.42578125" style="9"/>
    <col min="19" max="16384" width="11.42578125" style="10"/>
  </cols>
  <sheetData>
    <row r="1" spans="1:4" x14ac:dyDescent="0.25">
      <c r="A1" s="280"/>
      <c r="B1" s="280"/>
      <c r="C1" s="280"/>
      <c r="D1" s="280"/>
    </row>
    <row r="2" spans="1:4" x14ac:dyDescent="0.25">
      <c r="A2" s="11"/>
      <c r="B2" s="282" t="s">
        <v>0</v>
      </c>
      <c r="C2" s="282"/>
      <c r="D2" s="282"/>
    </row>
    <row r="3" spans="1:4" x14ac:dyDescent="0.25">
      <c r="A3" s="11"/>
      <c r="B3" s="282" t="s">
        <v>1</v>
      </c>
      <c r="C3" s="282"/>
      <c r="D3" s="282"/>
    </row>
    <row r="4" spans="1:4" x14ac:dyDescent="0.25">
      <c r="A4" s="11"/>
      <c r="B4" s="281" t="str">
        <f>FECHA!B6</f>
        <v>Al 31 DE ENERO 2023 Y 2022</v>
      </c>
      <c r="C4" s="281"/>
      <c r="D4" s="281"/>
    </row>
    <row r="5" spans="1:4" x14ac:dyDescent="0.25">
      <c r="A5" s="11"/>
      <c r="B5" s="282" t="s">
        <v>2</v>
      </c>
      <c r="C5" s="282"/>
      <c r="D5" s="282"/>
    </row>
    <row r="6" spans="1:4" x14ac:dyDescent="0.25">
      <c r="A6" s="11"/>
      <c r="B6" s="8"/>
      <c r="C6" s="5"/>
      <c r="D6" s="12"/>
    </row>
    <row r="7" spans="1:4" x14ac:dyDescent="0.25">
      <c r="A7" s="11"/>
      <c r="B7" s="13" t="s">
        <v>3</v>
      </c>
      <c r="C7" s="14">
        <v>2021</v>
      </c>
      <c r="D7" s="14">
        <v>2020</v>
      </c>
    </row>
    <row r="8" spans="1:4" x14ac:dyDescent="0.25">
      <c r="A8" s="11"/>
      <c r="B8" s="15" t="s">
        <v>71</v>
      </c>
      <c r="C8" s="16">
        <v>1260254744.02</v>
      </c>
      <c r="D8" s="16">
        <v>5060254340.7200003</v>
      </c>
    </row>
    <row r="9" spans="1:4" x14ac:dyDescent="0.25">
      <c r="A9" s="11"/>
      <c r="B9" s="17" t="s">
        <v>72</v>
      </c>
      <c r="C9" s="18">
        <v>85745624.859999999</v>
      </c>
      <c r="D9" s="18">
        <v>84034540.960000008</v>
      </c>
    </row>
    <row r="10" spans="1:4" x14ac:dyDescent="0.25">
      <c r="A10" s="11"/>
      <c r="B10" s="17" t="s">
        <v>73</v>
      </c>
      <c r="C10" s="18">
        <v>77595405.859999999</v>
      </c>
      <c r="D10" s="18">
        <v>83136027.960000008</v>
      </c>
    </row>
    <row r="11" spans="1:4" x14ac:dyDescent="0.25">
      <c r="A11" s="11"/>
      <c r="B11" s="17" t="s">
        <v>74</v>
      </c>
      <c r="C11" s="19">
        <v>77485405.859999999</v>
      </c>
      <c r="D11" s="19">
        <v>83026027.960000008</v>
      </c>
    </row>
    <row r="12" spans="1:4" x14ac:dyDescent="0.25">
      <c r="A12" s="11"/>
      <c r="B12" s="17" t="s">
        <v>75</v>
      </c>
      <c r="C12" s="19">
        <v>110000</v>
      </c>
      <c r="D12" s="19">
        <v>110000</v>
      </c>
    </row>
    <row r="13" spans="1:4" x14ac:dyDescent="0.25">
      <c r="A13" s="11"/>
      <c r="B13" s="17" t="s">
        <v>76</v>
      </c>
      <c r="C13" s="19">
        <v>8150219</v>
      </c>
      <c r="D13" s="19">
        <v>898513</v>
      </c>
    </row>
    <row r="14" spans="1:4" x14ac:dyDescent="0.25">
      <c r="A14" s="11"/>
      <c r="B14" s="17" t="s">
        <v>77</v>
      </c>
      <c r="C14" s="18">
        <v>730919658.98000002</v>
      </c>
      <c r="D14" s="18">
        <v>570795311.14999998</v>
      </c>
    </row>
    <row r="15" spans="1:4" x14ac:dyDescent="0.25">
      <c r="A15" s="11"/>
      <c r="B15" s="17" t="s">
        <v>78</v>
      </c>
      <c r="C15" s="19">
        <v>357226467.43000001</v>
      </c>
      <c r="D15" s="19">
        <v>357226467.43000001</v>
      </c>
    </row>
    <row r="16" spans="1:4" x14ac:dyDescent="0.25">
      <c r="A16" s="11"/>
      <c r="B16" s="17" t="s">
        <v>79</v>
      </c>
      <c r="C16" s="19">
        <v>373693191.55000001</v>
      </c>
      <c r="D16" s="19">
        <v>213568843.72</v>
      </c>
    </row>
    <row r="17" spans="1:4" x14ac:dyDescent="0.25">
      <c r="A17" s="11"/>
      <c r="B17" s="17" t="s">
        <v>80</v>
      </c>
      <c r="C17" s="19">
        <v>403484870.56</v>
      </c>
      <c r="D17" s="19">
        <v>4366772282.6499996</v>
      </c>
    </row>
    <row r="18" spans="1:4" x14ac:dyDescent="0.25">
      <c r="A18" s="11"/>
      <c r="B18" s="17" t="s">
        <v>81</v>
      </c>
      <c r="C18" s="18">
        <v>40104589.619999997</v>
      </c>
      <c r="D18" s="18">
        <v>38652205.960000001</v>
      </c>
    </row>
    <row r="19" spans="1:4" x14ac:dyDescent="0.25">
      <c r="A19" s="11"/>
      <c r="B19" s="17" t="s">
        <v>82</v>
      </c>
      <c r="C19" s="19">
        <v>40104589.619999997</v>
      </c>
      <c r="D19" s="19">
        <v>38652205.960000001</v>
      </c>
    </row>
    <row r="20" spans="1:4" x14ac:dyDescent="0.25">
      <c r="A20" s="11"/>
      <c r="B20" s="15" t="s">
        <v>83</v>
      </c>
      <c r="C20" s="16">
        <v>25936135571.450001</v>
      </c>
      <c r="D20" s="16">
        <v>21553493471.920002</v>
      </c>
    </row>
    <row r="21" spans="1:4" x14ac:dyDescent="0.25">
      <c r="A21" s="11"/>
      <c r="B21" s="17" t="s">
        <v>84</v>
      </c>
      <c r="C21" s="19">
        <v>22659541147.720001</v>
      </c>
      <c r="D21" s="19">
        <v>18039107404.77</v>
      </c>
    </row>
    <row r="22" spans="1:4" x14ac:dyDescent="0.25">
      <c r="A22" s="11"/>
      <c r="B22" s="17" t="s">
        <v>85</v>
      </c>
      <c r="C22" s="19">
        <v>127734728.86</v>
      </c>
      <c r="D22" s="19">
        <v>130468634.72</v>
      </c>
    </row>
    <row r="23" spans="1:4" x14ac:dyDescent="0.25">
      <c r="A23" s="11"/>
      <c r="B23" s="17" t="s">
        <v>86</v>
      </c>
      <c r="C23" s="19">
        <v>1586404937.1400001</v>
      </c>
      <c r="D23" s="19">
        <v>1792779816.55</v>
      </c>
    </row>
    <row r="24" spans="1:4" x14ac:dyDescent="0.25">
      <c r="A24" s="11"/>
      <c r="B24" s="17" t="s">
        <v>87</v>
      </c>
      <c r="C24" s="19">
        <v>2787732513.8699999</v>
      </c>
      <c r="D24" s="19">
        <v>1598663351.97</v>
      </c>
    </row>
    <row r="25" spans="1:4" x14ac:dyDescent="0.25">
      <c r="A25" s="11"/>
      <c r="B25" s="17" t="s">
        <v>88</v>
      </c>
      <c r="C25" s="19">
        <v>507166611.81999999</v>
      </c>
      <c r="D25" s="19">
        <v>791437574.38</v>
      </c>
    </row>
    <row r="26" spans="1:4" x14ac:dyDescent="0.25">
      <c r="A26" s="11"/>
      <c r="B26" s="17" t="s">
        <v>89</v>
      </c>
      <c r="C26" s="19">
        <v>1260935952.6100001</v>
      </c>
      <c r="D26" s="19">
        <v>1131705740.78</v>
      </c>
    </row>
    <row r="27" spans="1:4" x14ac:dyDescent="0.25">
      <c r="A27" s="11"/>
      <c r="B27" s="17" t="s">
        <v>90</v>
      </c>
      <c r="C27" s="19">
        <v>-2993380320.5700002</v>
      </c>
      <c r="D27" s="19">
        <v>-1930669051.25</v>
      </c>
    </row>
    <row r="28" spans="1:4" x14ac:dyDescent="0.25">
      <c r="A28" s="11"/>
      <c r="B28" s="15" t="s">
        <v>91</v>
      </c>
      <c r="C28" s="16">
        <v>151189831.27000001</v>
      </c>
      <c r="D28" s="16">
        <v>109000000</v>
      </c>
    </row>
    <row r="29" spans="1:4" x14ac:dyDescent="0.25">
      <c r="A29" s="11"/>
      <c r="B29" s="17" t="s">
        <v>92</v>
      </c>
      <c r="C29" s="19">
        <v>151189831.27000001</v>
      </c>
      <c r="D29" s="19">
        <v>109000000</v>
      </c>
    </row>
    <row r="30" spans="1:4" x14ac:dyDescent="0.25">
      <c r="A30" s="11"/>
      <c r="B30" s="20" t="s">
        <v>7</v>
      </c>
      <c r="C30" s="21">
        <v>125000000</v>
      </c>
      <c r="D30" s="21">
        <v>0</v>
      </c>
    </row>
    <row r="31" spans="1:4" x14ac:dyDescent="0.25">
      <c r="A31" s="11"/>
      <c r="B31" s="22" t="s">
        <v>8</v>
      </c>
      <c r="C31" s="23">
        <v>125000000</v>
      </c>
      <c r="D31" s="23">
        <v>0</v>
      </c>
    </row>
    <row r="32" spans="1:4" x14ac:dyDescent="0.25">
      <c r="A32" s="11"/>
      <c r="B32" s="20" t="s">
        <v>9</v>
      </c>
      <c r="C32" s="21">
        <v>1101897000</v>
      </c>
      <c r="D32" s="21">
        <v>0</v>
      </c>
    </row>
    <row r="33" spans="1:4" x14ac:dyDescent="0.25">
      <c r="A33" s="11"/>
      <c r="B33" s="22" t="s">
        <v>10</v>
      </c>
      <c r="C33" s="23">
        <v>1196827000</v>
      </c>
      <c r="D33" s="23">
        <v>0</v>
      </c>
    </row>
    <row r="34" spans="1:4" x14ac:dyDescent="0.25">
      <c r="A34" s="11"/>
      <c r="B34" s="15" t="s">
        <v>93</v>
      </c>
      <c r="C34" s="16">
        <v>547030000</v>
      </c>
      <c r="D34" s="16">
        <v>547030000</v>
      </c>
    </row>
    <row r="35" spans="1:4" x14ac:dyDescent="0.25">
      <c r="A35" s="11"/>
      <c r="B35" s="17" t="s">
        <v>94</v>
      </c>
      <c r="C35" s="19">
        <v>547030000</v>
      </c>
      <c r="D35" s="19">
        <v>547030000</v>
      </c>
    </row>
    <row r="36" spans="1:4" x14ac:dyDescent="0.25">
      <c r="A36" s="11"/>
      <c r="B36" s="15" t="s">
        <v>95</v>
      </c>
      <c r="C36" s="16">
        <v>-9968351.5299999993</v>
      </c>
      <c r="D36" s="16">
        <v>34383398.780000001</v>
      </c>
    </row>
    <row r="37" spans="1:4" x14ac:dyDescent="0.25">
      <c r="A37" s="11"/>
      <c r="B37" s="17" t="s">
        <v>96</v>
      </c>
      <c r="C37" s="19">
        <v>-9968351.5299999993</v>
      </c>
      <c r="D37" s="19">
        <v>34383398.780000001</v>
      </c>
    </row>
    <row r="38" spans="1:4" x14ac:dyDescent="0.25">
      <c r="A38" s="11"/>
      <c r="B38" s="15" t="s">
        <v>97</v>
      </c>
      <c r="C38" s="16">
        <v>11435270.33</v>
      </c>
      <c r="D38" s="16">
        <v>11459073.609999999</v>
      </c>
    </row>
    <row r="39" spans="1:4" x14ac:dyDescent="0.25">
      <c r="A39" s="11"/>
      <c r="B39" s="17" t="s">
        <v>98</v>
      </c>
      <c r="C39" s="19">
        <v>11435270.33</v>
      </c>
      <c r="D39" s="19">
        <v>11459073.609999999</v>
      </c>
    </row>
    <row r="40" spans="1:4" x14ac:dyDescent="0.25">
      <c r="A40" s="11"/>
      <c r="B40" s="15" t="s">
        <v>99</v>
      </c>
      <c r="C40" s="16">
        <v>54938633.189999998</v>
      </c>
      <c r="D40" s="16">
        <v>45355150.509999998</v>
      </c>
    </row>
    <row r="41" spans="1:4" x14ac:dyDescent="0.25">
      <c r="A41" s="11"/>
      <c r="B41" s="17" t="s">
        <v>100</v>
      </c>
      <c r="C41" s="18">
        <v>54938633.189999998</v>
      </c>
      <c r="D41" s="18">
        <v>45355150.509999998</v>
      </c>
    </row>
    <row r="42" spans="1:4" x14ac:dyDescent="0.25">
      <c r="A42" s="11"/>
      <c r="B42" s="17" t="s">
        <v>101</v>
      </c>
      <c r="C42" s="19">
        <v>20701.5</v>
      </c>
      <c r="D42" s="19">
        <v>45161.24</v>
      </c>
    </row>
    <row r="43" spans="1:4" x14ac:dyDescent="0.25">
      <c r="A43" s="11"/>
      <c r="B43" s="17" t="s">
        <v>102</v>
      </c>
      <c r="C43" s="19">
        <v>1101931.74</v>
      </c>
      <c r="D43" s="19">
        <v>1091781.74</v>
      </c>
    </row>
    <row r="44" spans="1:4" x14ac:dyDescent="0.25">
      <c r="A44" s="11"/>
      <c r="B44" s="17" t="s">
        <v>103</v>
      </c>
      <c r="C44" s="18">
        <v>53815999.950000003</v>
      </c>
      <c r="D44" s="18">
        <v>44218207.530000001</v>
      </c>
    </row>
    <row r="45" spans="1:4" x14ac:dyDescent="0.25">
      <c r="A45" s="11"/>
      <c r="B45" s="17" t="s">
        <v>104</v>
      </c>
      <c r="C45" s="19">
        <v>160285.84</v>
      </c>
      <c r="D45" s="19">
        <v>160285.84</v>
      </c>
    </row>
    <row r="46" spans="1:4" x14ac:dyDescent="0.25">
      <c r="A46" s="11"/>
      <c r="B46" s="17" t="s">
        <v>105</v>
      </c>
      <c r="C46" s="19">
        <v>13394857.210000001</v>
      </c>
      <c r="D46" s="19">
        <v>19208776.43</v>
      </c>
    </row>
    <row r="47" spans="1:4" x14ac:dyDescent="0.25">
      <c r="A47" s="11"/>
      <c r="B47" s="17" t="s">
        <v>106</v>
      </c>
      <c r="C47" s="19">
        <v>22015000</v>
      </c>
      <c r="D47" s="19">
        <v>23200294.490000002</v>
      </c>
    </row>
    <row r="48" spans="1:4" x14ac:dyDescent="0.25">
      <c r="A48" s="11"/>
      <c r="B48" s="17" t="s">
        <v>107</v>
      </c>
      <c r="C48" s="19">
        <v>2805900</v>
      </c>
      <c r="D48" s="19">
        <v>0</v>
      </c>
    </row>
    <row r="49" spans="1:4" x14ac:dyDescent="0.25">
      <c r="A49" s="11"/>
      <c r="B49" s="17" t="s">
        <v>108</v>
      </c>
      <c r="C49" s="19">
        <v>15439956.9</v>
      </c>
      <c r="D49" s="19">
        <v>1648850.77</v>
      </c>
    </row>
    <row r="50" spans="1:4" x14ac:dyDescent="0.25">
      <c r="A50" s="11"/>
      <c r="B50" s="15" t="s">
        <v>109</v>
      </c>
      <c r="C50" s="16">
        <v>1226874955.75</v>
      </c>
      <c r="D50" s="16">
        <v>1178032993.21</v>
      </c>
    </row>
    <row r="51" spans="1:4" x14ac:dyDescent="0.25">
      <c r="A51" s="11"/>
      <c r="B51" s="17" t="s">
        <v>110</v>
      </c>
      <c r="C51" s="19">
        <v>-322888347.41000003</v>
      </c>
      <c r="D51" s="19">
        <v>-288526804.47000003</v>
      </c>
    </row>
    <row r="52" spans="1:4" x14ac:dyDescent="0.25">
      <c r="A52" s="11"/>
      <c r="B52" s="17" t="s">
        <v>111</v>
      </c>
      <c r="C52" s="19">
        <v>793589945.85000002</v>
      </c>
      <c r="D52" s="19">
        <v>793591745.85000002</v>
      </c>
    </row>
    <row r="53" spans="1:4" x14ac:dyDescent="0.25">
      <c r="A53" s="11"/>
      <c r="B53" s="8"/>
      <c r="C53" s="6"/>
      <c r="D53" s="6"/>
    </row>
    <row r="54" spans="1:4" x14ac:dyDescent="0.25">
      <c r="A54" s="11"/>
      <c r="B54" s="8"/>
      <c r="C54" s="6"/>
      <c r="D54" s="6"/>
    </row>
    <row r="55" spans="1:4" x14ac:dyDescent="0.25">
      <c r="A55" s="11"/>
      <c r="B55" s="8"/>
      <c r="C55" s="6"/>
      <c r="D55" s="6"/>
    </row>
    <row r="56" spans="1:4" x14ac:dyDescent="0.25">
      <c r="A56" s="11"/>
      <c r="B56" s="8"/>
      <c r="C56" s="6"/>
      <c r="D56" s="6"/>
    </row>
    <row r="57" spans="1:4" x14ac:dyDescent="0.25">
      <c r="A57" s="11"/>
      <c r="B57" s="8"/>
      <c r="C57" s="6"/>
      <c r="D57" s="4">
        <v>7</v>
      </c>
    </row>
    <row r="58" spans="1:4" x14ac:dyDescent="0.25">
      <c r="A58" s="11"/>
      <c r="B58" s="8"/>
      <c r="C58" s="6"/>
      <c r="D58" s="6"/>
    </row>
    <row r="59" spans="1:4" x14ac:dyDescent="0.25">
      <c r="A59" s="11"/>
      <c r="B59" s="8"/>
      <c r="C59" s="6"/>
    </row>
    <row r="60" spans="1:4" x14ac:dyDescent="0.25">
      <c r="A60" s="11"/>
      <c r="B60" s="8"/>
      <c r="C60" s="6"/>
      <c r="D60" s="6"/>
    </row>
    <row r="61" spans="1:4" x14ac:dyDescent="0.25">
      <c r="A61" s="11"/>
      <c r="B61" s="282" t="s">
        <v>0</v>
      </c>
      <c r="C61" s="282"/>
      <c r="D61" s="282"/>
    </row>
    <row r="62" spans="1:4" x14ac:dyDescent="0.25">
      <c r="A62" s="11"/>
      <c r="B62" s="282" t="s">
        <v>1</v>
      </c>
      <c r="C62" s="282"/>
      <c r="D62" s="282"/>
    </row>
    <row r="63" spans="1:4" x14ac:dyDescent="0.25">
      <c r="A63" s="11"/>
      <c r="B63" s="281" t="str">
        <f>B4</f>
        <v>Al 31 DE ENERO 2023 Y 2022</v>
      </c>
      <c r="C63" s="281"/>
      <c r="D63" s="281"/>
    </row>
    <row r="64" spans="1:4" x14ac:dyDescent="0.25">
      <c r="A64" s="11"/>
      <c r="B64" s="282" t="s">
        <v>2</v>
      </c>
      <c r="C64" s="282"/>
      <c r="D64" s="282"/>
    </row>
    <row r="65" spans="1:4" x14ac:dyDescent="0.25">
      <c r="A65" s="11"/>
      <c r="B65" s="8"/>
      <c r="C65" s="5"/>
      <c r="D65" s="12"/>
    </row>
    <row r="66" spans="1:4" x14ac:dyDescent="0.25">
      <c r="A66" s="11"/>
      <c r="B66" s="13" t="s">
        <v>3</v>
      </c>
      <c r="C66" s="14">
        <v>2021</v>
      </c>
      <c r="D66" s="14">
        <v>2020</v>
      </c>
    </row>
    <row r="67" spans="1:4" x14ac:dyDescent="0.25">
      <c r="A67" s="11"/>
      <c r="B67" s="17" t="s">
        <v>112</v>
      </c>
      <c r="C67" s="19">
        <v>506897836.82999998</v>
      </c>
      <c r="D67" s="19">
        <v>515765343.38</v>
      </c>
    </row>
    <row r="68" spans="1:4" x14ac:dyDescent="0.25">
      <c r="A68" s="11"/>
      <c r="B68" s="17" t="s">
        <v>113</v>
      </c>
      <c r="C68" s="18">
        <v>182359071.78</v>
      </c>
      <c r="D68" s="18">
        <v>147104083.28999999</v>
      </c>
    </row>
    <row r="69" spans="1:4" x14ac:dyDescent="0.25">
      <c r="A69" s="11"/>
      <c r="B69" s="17" t="s">
        <v>114</v>
      </c>
      <c r="C69" s="19">
        <v>69319889.930000007</v>
      </c>
      <c r="D69" s="19">
        <v>49812575.300000004</v>
      </c>
    </row>
    <row r="70" spans="1:4" x14ac:dyDescent="0.25">
      <c r="A70" s="11"/>
      <c r="B70" s="17" t="s">
        <v>115</v>
      </c>
      <c r="C70" s="19">
        <v>62247355.840000004</v>
      </c>
      <c r="D70" s="19">
        <v>50437255.840000004</v>
      </c>
    </row>
    <row r="71" spans="1:4" x14ac:dyDescent="0.25">
      <c r="A71" s="11"/>
      <c r="B71" s="17" t="s">
        <v>116</v>
      </c>
      <c r="C71" s="19">
        <v>50791826.009999998</v>
      </c>
      <c r="D71" s="19">
        <v>46854252.149999999</v>
      </c>
    </row>
    <row r="72" spans="1:4" x14ac:dyDescent="0.25">
      <c r="A72" s="11"/>
      <c r="B72" s="17" t="s">
        <v>117</v>
      </c>
      <c r="C72" s="18">
        <v>66916448.700000003</v>
      </c>
      <c r="D72" s="18">
        <v>10098625.16</v>
      </c>
    </row>
    <row r="73" spans="1:4" x14ac:dyDescent="0.25">
      <c r="A73" s="11"/>
      <c r="B73" s="17" t="s">
        <v>118</v>
      </c>
      <c r="C73" s="19">
        <v>3969812.21</v>
      </c>
      <c r="D73" s="19">
        <v>4257642.33</v>
      </c>
    </row>
    <row r="74" spans="1:4" x14ac:dyDescent="0.25">
      <c r="A74" s="11"/>
      <c r="B74" s="17" t="s">
        <v>119</v>
      </c>
      <c r="C74" s="19">
        <v>62946636.490000002</v>
      </c>
      <c r="D74" s="19">
        <v>5840982.8300000001</v>
      </c>
    </row>
    <row r="75" spans="1:4" x14ac:dyDescent="0.25">
      <c r="A75" s="11"/>
      <c r="B75" s="15" t="s">
        <v>120</v>
      </c>
      <c r="C75" s="16">
        <v>42224892.189999998</v>
      </c>
      <c r="D75" s="16">
        <v>37529892.189999998</v>
      </c>
    </row>
    <row r="76" spans="1:4" x14ac:dyDescent="0.25">
      <c r="A76" s="11"/>
      <c r="B76" s="17" t="s">
        <v>121</v>
      </c>
      <c r="C76" s="19">
        <v>42525400</v>
      </c>
      <c r="D76" s="19">
        <v>37830400</v>
      </c>
    </row>
    <row r="77" spans="1:4" x14ac:dyDescent="0.25">
      <c r="A77" s="11"/>
      <c r="B77" s="17" t="s">
        <v>122</v>
      </c>
      <c r="C77" s="19">
        <v>35329000</v>
      </c>
      <c r="D77" s="19">
        <v>30634000</v>
      </c>
    </row>
    <row r="78" spans="1:4" x14ac:dyDescent="0.25">
      <c r="A78" s="11"/>
      <c r="B78" s="17" t="s">
        <v>123</v>
      </c>
      <c r="C78" s="19">
        <v>7196400</v>
      </c>
      <c r="D78" s="19">
        <v>7196400</v>
      </c>
    </row>
    <row r="79" spans="1:4" x14ac:dyDescent="0.25">
      <c r="A79" s="11"/>
      <c r="B79" s="17" t="s">
        <v>124</v>
      </c>
      <c r="C79" s="19">
        <v>-300507.81</v>
      </c>
      <c r="D79" s="19">
        <v>-300507.81</v>
      </c>
    </row>
    <row r="80" spans="1:4" x14ac:dyDescent="0.25">
      <c r="A80" s="11"/>
      <c r="B80" s="15" t="s">
        <v>125</v>
      </c>
      <c r="C80" s="16">
        <f>387916804.06+C82</f>
        <v>388007605.06</v>
      </c>
      <c r="D80" s="16">
        <v>137033581.87</v>
      </c>
    </row>
    <row r="81" spans="1:4" x14ac:dyDescent="0.25">
      <c r="A81" s="11"/>
      <c r="B81" s="17" t="s">
        <v>126</v>
      </c>
      <c r="C81" s="18">
        <v>6077809.1100000003</v>
      </c>
      <c r="D81" s="18">
        <v>3238221.45</v>
      </c>
    </row>
    <row r="82" spans="1:4" x14ac:dyDescent="0.25">
      <c r="A82" s="11"/>
      <c r="B82" s="17" t="s">
        <v>246</v>
      </c>
      <c r="C82" s="18">
        <v>90801</v>
      </c>
      <c r="D82" s="18">
        <v>0</v>
      </c>
    </row>
    <row r="83" spans="1:4" x14ac:dyDescent="0.25">
      <c r="A83" s="11"/>
      <c r="B83" s="17" t="s">
        <v>127</v>
      </c>
      <c r="C83" s="18">
        <v>5987008.1100000003</v>
      </c>
      <c r="D83" s="18">
        <v>3238221.45</v>
      </c>
    </row>
    <row r="84" spans="1:4" x14ac:dyDescent="0.25">
      <c r="A84" s="11"/>
      <c r="B84" s="17" t="s">
        <v>128</v>
      </c>
      <c r="C84" s="19">
        <v>3883036.48</v>
      </c>
      <c r="D84" s="19">
        <v>3188521.45</v>
      </c>
    </row>
    <row r="85" spans="1:4" x14ac:dyDescent="0.25">
      <c r="A85" s="11"/>
      <c r="B85" s="17" t="s">
        <v>129</v>
      </c>
      <c r="C85" s="19">
        <v>17120</v>
      </c>
      <c r="D85" s="19">
        <v>9700</v>
      </c>
    </row>
    <row r="86" spans="1:4" x14ac:dyDescent="0.25">
      <c r="A86" s="11"/>
      <c r="B86" s="17" t="s">
        <v>130</v>
      </c>
      <c r="C86" s="19">
        <v>2086851.6300000001</v>
      </c>
      <c r="D86" s="19">
        <v>40000</v>
      </c>
    </row>
    <row r="87" spans="1:4" x14ac:dyDescent="0.25">
      <c r="A87" s="11"/>
      <c r="B87" s="17" t="s">
        <v>131</v>
      </c>
      <c r="C87" s="18">
        <v>7041244.2700000005</v>
      </c>
      <c r="D87" s="18">
        <v>2298887.9500000002</v>
      </c>
    </row>
    <row r="88" spans="1:4" x14ac:dyDescent="0.25">
      <c r="A88" s="11"/>
      <c r="B88" s="17" t="s">
        <v>132</v>
      </c>
      <c r="C88" s="18">
        <v>7041244.2700000005</v>
      </c>
      <c r="D88" s="18">
        <v>2298887.9500000002</v>
      </c>
    </row>
    <row r="89" spans="1:4" x14ac:dyDescent="0.25">
      <c r="A89" s="11"/>
      <c r="B89" s="17" t="s">
        <v>133</v>
      </c>
      <c r="C89" s="19">
        <v>89020575.939999998</v>
      </c>
      <c r="D89" s="19">
        <v>76803263.060000002</v>
      </c>
    </row>
    <row r="90" spans="1:4" x14ac:dyDescent="0.25">
      <c r="A90" s="11"/>
      <c r="B90" s="17" t="s">
        <v>134</v>
      </c>
      <c r="C90" s="19">
        <v>-81979331.670000002</v>
      </c>
      <c r="D90" s="19">
        <v>-74504375.109999999</v>
      </c>
    </row>
    <row r="91" spans="1:4" x14ac:dyDescent="0.25">
      <c r="A91" s="11"/>
      <c r="B91" s="17" t="s">
        <v>135</v>
      </c>
      <c r="C91" s="18">
        <v>337876345.78000003</v>
      </c>
      <c r="D91" s="18">
        <v>96537831.829999998</v>
      </c>
    </row>
    <row r="92" spans="1:4" x14ac:dyDescent="0.25">
      <c r="A92" s="11"/>
      <c r="B92" s="17" t="s">
        <v>136</v>
      </c>
      <c r="C92" s="19">
        <v>665291099.38</v>
      </c>
      <c r="D92" s="19">
        <v>370021633.81999999</v>
      </c>
    </row>
    <row r="93" spans="1:4" x14ac:dyDescent="0.25">
      <c r="A93" s="11"/>
      <c r="B93" s="17" t="s">
        <v>137</v>
      </c>
      <c r="C93" s="19">
        <v>-327414753.60000002</v>
      </c>
      <c r="D93" s="19">
        <v>-273483801.99000001</v>
      </c>
    </row>
    <row r="94" spans="1:4" x14ac:dyDescent="0.25">
      <c r="A94" s="11"/>
      <c r="B94" s="17" t="s">
        <v>138</v>
      </c>
      <c r="C94" s="18">
        <v>21857847.670000002</v>
      </c>
      <c r="D94" s="18">
        <v>45070500.829999998</v>
      </c>
    </row>
    <row r="95" spans="1:4" x14ac:dyDescent="0.25">
      <c r="A95" s="11"/>
      <c r="B95" s="17" t="s">
        <v>139</v>
      </c>
      <c r="C95" s="19">
        <v>21857847.670000002</v>
      </c>
      <c r="D95" s="19">
        <v>45070500.829999998</v>
      </c>
    </row>
    <row r="96" spans="1:4" x14ac:dyDescent="0.25">
      <c r="A96" s="11"/>
      <c r="B96" s="17" t="s">
        <v>140</v>
      </c>
      <c r="C96" s="18">
        <v>643433251.71000004</v>
      </c>
      <c r="D96" s="18">
        <v>324951132.99000001</v>
      </c>
    </row>
    <row r="97" spans="1:4" x14ac:dyDescent="0.25">
      <c r="A97" s="11"/>
      <c r="B97" s="17" t="s">
        <v>139</v>
      </c>
      <c r="C97" s="19">
        <v>643433251.71000004</v>
      </c>
      <c r="D97" s="19">
        <v>324951132.99000001</v>
      </c>
    </row>
    <row r="98" spans="1:4" x14ac:dyDescent="0.25">
      <c r="A98" s="11"/>
      <c r="B98" s="17" t="s">
        <v>141</v>
      </c>
      <c r="C98" s="18">
        <v>36943523.780000001</v>
      </c>
      <c r="D98" s="18">
        <v>34953316.200000003</v>
      </c>
    </row>
    <row r="99" spans="1:4" x14ac:dyDescent="0.25">
      <c r="A99" s="11"/>
      <c r="B99" s="17" t="s">
        <v>142</v>
      </c>
      <c r="C99" s="19">
        <v>23805808.199999999</v>
      </c>
      <c r="D99" s="19">
        <v>23973090.600000001</v>
      </c>
    </row>
    <row r="100" spans="1:4" x14ac:dyDescent="0.25">
      <c r="A100" s="11"/>
      <c r="B100" s="17" t="s">
        <v>143</v>
      </c>
      <c r="C100" s="19">
        <v>11819327.380000001</v>
      </c>
      <c r="D100" s="19">
        <v>9654337.4000000004</v>
      </c>
    </row>
    <row r="101" spans="1:4" x14ac:dyDescent="0.25">
      <c r="A101" s="11"/>
      <c r="B101" s="17" t="s">
        <v>144</v>
      </c>
      <c r="C101" s="19">
        <v>1318388.2</v>
      </c>
      <c r="D101" s="19">
        <v>1325888.2</v>
      </c>
    </row>
    <row r="102" spans="1:4" x14ac:dyDescent="0.25">
      <c r="A102" s="11"/>
      <c r="B102" s="17" t="s">
        <v>145</v>
      </c>
      <c r="C102" s="18">
        <v>68682.12</v>
      </c>
      <c r="D102" s="18">
        <v>5324.4400000000005</v>
      </c>
    </row>
    <row r="103" spans="1:4" x14ac:dyDescent="0.25">
      <c r="A103" s="11"/>
      <c r="B103" s="17" t="s">
        <v>146</v>
      </c>
      <c r="C103" s="19">
        <v>984</v>
      </c>
      <c r="D103" s="19">
        <v>324.49</v>
      </c>
    </row>
    <row r="104" spans="1:4" x14ac:dyDescent="0.25">
      <c r="A104" s="11"/>
      <c r="B104" s="17" t="s">
        <v>147</v>
      </c>
      <c r="C104" s="19">
        <v>67698.12</v>
      </c>
      <c r="D104" s="19">
        <v>4999.95</v>
      </c>
    </row>
    <row r="105" spans="1:4" ht="16.5" thickBot="1" x14ac:dyDescent="0.3">
      <c r="A105" s="11"/>
      <c r="B105" s="15" t="s">
        <v>4</v>
      </c>
      <c r="C105" s="24">
        <v>30835020151.73</v>
      </c>
      <c r="D105" s="24">
        <v>28713571902.810001</v>
      </c>
    </row>
    <row r="106" spans="1:4" ht="16.5" thickTop="1" x14ac:dyDescent="0.25">
      <c r="A106" s="11"/>
      <c r="B106" s="17"/>
      <c r="C106" s="19"/>
      <c r="D106" s="19"/>
    </row>
    <row r="107" spans="1:4" x14ac:dyDescent="0.25">
      <c r="A107" s="11"/>
      <c r="B107" s="15"/>
      <c r="C107" s="25"/>
      <c r="D107" s="1">
        <v>8</v>
      </c>
    </row>
    <row r="108" spans="1:4" x14ac:dyDescent="0.25">
      <c r="A108" s="11"/>
      <c r="B108" s="7"/>
      <c r="C108" s="4"/>
      <c r="D108" s="12"/>
    </row>
    <row r="109" spans="1:4" x14ac:dyDescent="0.25">
      <c r="A109" s="11"/>
      <c r="B109" s="282" t="s">
        <v>0</v>
      </c>
      <c r="C109" s="282"/>
      <c r="D109" s="282"/>
    </row>
    <row r="110" spans="1:4" x14ac:dyDescent="0.25">
      <c r="A110" s="11"/>
      <c r="B110" s="282" t="s">
        <v>1</v>
      </c>
      <c r="C110" s="282"/>
      <c r="D110" s="282"/>
    </row>
    <row r="111" spans="1:4" x14ac:dyDescent="0.25">
      <c r="A111" s="11"/>
      <c r="B111" s="281" t="str">
        <f>B4</f>
        <v>Al 31 DE ENERO 2023 Y 2022</v>
      </c>
      <c r="C111" s="281"/>
      <c r="D111" s="281"/>
    </row>
    <row r="112" spans="1:4" x14ac:dyDescent="0.25">
      <c r="A112" s="11"/>
      <c r="B112" s="282" t="s">
        <v>2</v>
      </c>
      <c r="C112" s="282"/>
      <c r="D112" s="282"/>
    </row>
    <row r="113" spans="1:4" x14ac:dyDescent="0.25">
      <c r="A113" s="11"/>
      <c r="B113" s="8"/>
      <c r="C113" s="5"/>
      <c r="D113" s="12"/>
    </row>
    <row r="114" spans="1:4" x14ac:dyDescent="0.25">
      <c r="A114" s="11"/>
      <c r="B114" s="13" t="s">
        <v>5</v>
      </c>
      <c r="C114" s="14">
        <v>2021</v>
      </c>
      <c r="D114" s="14">
        <v>2020</v>
      </c>
    </row>
    <row r="115" spans="1:4" x14ac:dyDescent="0.25">
      <c r="A115" s="11"/>
      <c r="B115" s="15" t="s">
        <v>148</v>
      </c>
      <c r="C115" s="16">
        <v>7109618332.8800001</v>
      </c>
      <c r="D115" s="16">
        <v>5994212982.79</v>
      </c>
    </row>
    <row r="116" spans="1:4" x14ac:dyDescent="0.25">
      <c r="A116" s="11"/>
      <c r="B116" s="17" t="s">
        <v>149</v>
      </c>
      <c r="C116" s="19">
        <v>6827840555.3699999</v>
      </c>
      <c r="D116" s="19">
        <v>5736351522.7700005</v>
      </c>
    </row>
    <row r="117" spans="1:4" x14ac:dyDescent="0.25">
      <c r="A117" s="11"/>
      <c r="B117" s="17" t="s">
        <v>150</v>
      </c>
      <c r="C117" s="18">
        <v>502570.83</v>
      </c>
      <c r="D117" s="18">
        <v>502570.83</v>
      </c>
    </row>
    <row r="118" spans="1:4" x14ac:dyDescent="0.25">
      <c r="A118" s="11"/>
      <c r="B118" s="17" t="s">
        <v>151</v>
      </c>
      <c r="C118" s="19">
        <v>73684.710000000006</v>
      </c>
      <c r="D118" s="19">
        <v>73684.710000000006</v>
      </c>
    </row>
    <row r="119" spans="1:4" x14ac:dyDescent="0.25">
      <c r="A119" s="11"/>
      <c r="B119" s="17" t="s">
        <v>152</v>
      </c>
      <c r="C119" s="19">
        <v>428886.12</v>
      </c>
      <c r="D119" s="19">
        <v>428886.12</v>
      </c>
    </row>
    <row r="120" spans="1:4" x14ac:dyDescent="0.25">
      <c r="A120" s="11"/>
      <c r="B120" s="17" t="s">
        <v>153</v>
      </c>
      <c r="C120" s="18">
        <v>256480239.68000001</v>
      </c>
      <c r="D120" s="18">
        <v>237346576.91</v>
      </c>
    </row>
    <row r="121" spans="1:4" x14ac:dyDescent="0.25">
      <c r="A121" s="11"/>
      <c r="B121" s="17" t="s">
        <v>154</v>
      </c>
      <c r="C121" s="19">
        <v>196221088.38</v>
      </c>
      <c r="D121" s="19">
        <v>187361857.34999999</v>
      </c>
    </row>
    <row r="122" spans="1:4" x14ac:dyDescent="0.25">
      <c r="A122" s="11"/>
      <c r="B122" s="17" t="s">
        <v>155</v>
      </c>
      <c r="C122" s="19">
        <v>27043024.66</v>
      </c>
      <c r="D122" s="19">
        <v>24493628.629999999</v>
      </c>
    </row>
    <row r="123" spans="1:4" x14ac:dyDescent="0.25">
      <c r="A123" s="11"/>
      <c r="B123" s="17" t="s">
        <v>156</v>
      </c>
      <c r="C123" s="19">
        <v>897976.21</v>
      </c>
      <c r="D123" s="19">
        <v>897976.21</v>
      </c>
    </row>
    <row r="124" spans="1:4" x14ac:dyDescent="0.25">
      <c r="A124" s="11"/>
      <c r="B124" s="17" t="s">
        <v>157</v>
      </c>
      <c r="C124" s="19">
        <v>32318150.43</v>
      </c>
      <c r="D124" s="19">
        <v>24593114.719999999</v>
      </c>
    </row>
    <row r="125" spans="1:4" x14ac:dyDescent="0.25">
      <c r="A125" s="11"/>
      <c r="B125" s="17" t="s">
        <v>158</v>
      </c>
      <c r="C125" s="18">
        <v>24794967</v>
      </c>
      <c r="D125" s="18">
        <v>20012312.280000001</v>
      </c>
    </row>
    <row r="126" spans="1:4" x14ac:dyDescent="0.25">
      <c r="A126" s="11"/>
      <c r="B126" s="17" t="s">
        <v>159</v>
      </c>
      <c r="C126" s="18">
        <v>23916252.68</v>
      </c>
      <c r="D126" s="18">
        <v>19238921.010000002</v>
      </c>
    </row>
    <row r="127" spans="1:4" x14ac:dyDescent="0.25">
      <c r="A127" s="11"/>
      <c r="B127" s="17" t="s">
        <v>160</v>
      </c>
      <c r="C127" s="19">
        <v>23752484.91</v>
      </c>
      <c r="D127" s="19">
        <v>19082974.490000002</v>
      </c>
    </row>
    <row r="128" spans="1:4" x14ac:dyDescent="0.25">
      <c r="A128" s="11"/>
      <c r="B128" s="17" t="s">
        <v>161</v>
      </c>
      <c r="C128" s="19">
        <v>163767.76999999999</v>
      </c>
      <c r="D128" s="19">
        <v>155946.51999999999</v>
      </c>
    </row>
    <row r="129" spans="1:4" x14ac:dyDescent="0.25">
      <c r="A129" s="11"/>
      <c r="B129" s="17" t="s">
        <v>162</v>
      </c>
      <c r="C129" s="19">
        <v>878714.32000000007</v>
      </c>
      <c r="D129" s="19">
        <v>773391.27</v>
      </c>
    </row>
    <row r="130" spans="1:4" x14ac:dyDescent="0.25">
      <c r="A130" s="11"/>
      <c r="B130" s="15" t="s">
        <v>6</v>
      </c>
      <c r="C130" s="16">
        <v>4091923756.2400002</v>
      </c>
      <c r="D130" s="16">
        <v>3261791862.6900001</v>
      </c>
    </row>
    <row r="131" spans="1:4" x14ac:dyDescent="0.25">
      <c r="A131" s="11"/>
      <c r="B131" s="17" t="s">
        <v>163</v>
      </c>
      <c r="C131" s="18">
        <v>1790266062.8400002</v>
      </c>
      <c r="D131" s="18">
        <v>1437636192.3600001</v>
      </c>
    </row>
    <row r="132" spans="1:4" x14ac:dyDescent="0.25">
      <c r="A132" s="11"/>
      <c r="B132" s="17" t="s">
        <v>164</v>
      </c>
      <c r="C132" s="19">
        <v>1790266062.8400002</v>
      </c>
      <c r="D132" s="19">
        <v>1437636192.3600001</v>
      </c>
    </row>
    <row r="133" spans="1:4" x14ac:dyDescent="0.25">
      <c r="A133" s="11"/>
      <c r="B133" s="17" t="s">
        <v>165</v>
      </c>
      <c r="C133" s="18">
        <v>1761394240.6100001</v>
      </c>
      <c r="D133" s="18">
        <v>1316613729.4400001</v>
      </c>
    </row>
    <row r="134" spans="1:4" x14ac:dyDescent="0.25">
      <c r="A134" s="11"/>
      <c r="B134" s="17" t="s">
        <v>164</v>
      </c>
      <c r="C134" s="19">
        <v>1761394240.6100001</v>
      </c>
      <c r="D134" s="19">
        <v>1316613729.4400001</v>
      </c>
    </row>
    <row r="135" spans="1:4" x14ac:dyDescent="0.25">
      <c r="A135" s="11"/>
      <c r="B135" s="17" t="s">
        <v>166</v>
      </c>
      <c r="C135" s="18">
        <v>507758637</v>
      </c>
      <c r="D135" s="18">
        <v>487890752.07999998</v>
      </c>
    </row>
    <row r="136" spans="1:4" x14ac:dyDescent="0.25">
      <c r="A136" s="11"/>
      <c r="B136" s="17" t="s">
        <v>167</v>
      </c>
      <c r="C136" s="18">
        <v>9584000</v>
      </c>
      <c r="D136" s="18">
        <v>11291864.220000001</v>
      </c>
    </row>
    <row r="137" spans="1:4" x14ac:dyDescent="0.25">
      <c r="A137" s="11"/>
      <c r="B137" s="17" t="s">
        <v>168</v>
      </c>
      <c r="C137" s="19">
        <v>9584000</v>
      </c>
      <c r="D137" s="19">
        <v>11291864.220000001</v>
      </c>
    </row>
    <row r="138" spans="1:4" x14ac:dyDescent="0.25">
      <c r="A138" s="11"/>
      <c r="B138" s="17" t="s">
        <v>169</v>
      </c>
      <c r="C138" s="18">
        <v>498174637</v>
      </c>
      <c r="D138" s="18">
        <v>476598887.86000001</v>
      </c>
    </row>
    <row r="139" spans="1:4" x14ac:dyDescent="0.25">
      <c r="A139" s="11"/>
      <c r="B139" s="17" t="s">
        <v>168</v>
      </c>
      <c r="C139" s="19">
        <v>498174637</v>
      </c>
      <c r="D139" s="19">
        <v>476598887.86000001</v>
      </c>
    </row>
    <row r="140" spans="1:4" x14ac:dyDescent="0.25">
      <c r="A140" s="11"/>
      <c r="B140" s="17" t="s">
        <v>170</v>
      </c>
      <c r="C140" s="18">
        <v>32504815.789999999</v>
      </c>
      <c r="D140" s="18">
        <v>19651188.809999999</v>
      </c>
    </row>
    <row r="141" spans="1:4" x14ac:dyDescent="0.25">
      <c r="A141" s="11"/>
      <c r="B141" s="17" t="s">
        <v>168</v>
      </c>
      <c r="C141" s="19">
        <v>32504815.789999999</v>
      </c>
      <c r="D141" s="19">
        <v>19651188.809999999</v>
      </c>
    </row>
    <row r="142" spans="1:4" x14ac:dyDescent="0.25">
      <c r="A142" s="11"/>
      <c r="B142" s="15" t="s">
        <v>171</v>
      </c>
      <c r="C142" s="16">
        <v>3153279234.8600001</v>
      </c>
      <c r="D142" s="16">
        <v>3518651500.8600001</v>
      </c>
    </row>
    <row r="143" spans="1:4" x14ac:dyDescent="0.25">
      <c r="A143" s="11"/>
      <c r="B143" s="17" t="s">
        <v>172</v>
      </c>
      <c r="C143" s="18">
        <v>3153279234.8600001</v>
      </c>
      <c r="D143" s="18">
        <v>3518651500.8600001</v>
      </c>
    </row>
    <row r="144" spans="1:4" x14ac:dyDescent="0.25">
      <c r="A144" s="11"/>
      <c r="B144" s="17" t="s">
        <v>173</v>
      </c>
      <c r="C144" s="19">
        <v>594115325.13</v>
      </c>
      <c r="D144" s="19">
        <v>600151782.63999999</v>
      </c>
    </row>
    <row r="145" spans="1:4" x14ac:dyDescent="0.25">
      <c r="A145" s="11"/>
      <c r="B145" s="17" t="s">
        <v>174</v>
      </c>
      <c r="C145" s="19">
        <v>2540000000</v>
      </c>
      <c r="D145" s="19">
        <v>2889999999.0599999</v>
      </c>
    </row>
    <row r="146" spans="1:4" x14ac:dyDescent="0.25">
      <c r="A146" s="11"/>
      <c r="B146" s="17" t="s">
        <v>175</v>
      </c>
      <c r="C146" s="19">
        <v>19163909.73</v>
      </c>
      <c r="D146" s="19">
        <v>28499719.16</v>
      </c>
    </row>
    <row r="147" spans="1:4" x14ac:dyDescent="0.25">
      <c r="A147" s="11"/>
      <c r="B147" s="15" t="s">
        <v>176</v>
      </c>
      <c r="C147" s="16">
        <v>2220710209.73</v>
      </c>
      <c r="D147" s="16">
        <v>1821131546.6500001</v>
      </c>
    </row>
    <row r="148" spans="1:4" x14ac:dyDescent="0.25">
      <c r="A148" s="11"/>
      <c r="B148" s="17" t="s">
        <v>177</v>
      </c>
      <c r="C148" s="18">
        <v>130251359.88000001</v>
      </c>
      <c r="D148" s="18">
        <v>62273461.189999998</v>
      </c>
    </row>
    <row r="149" spans="1:4" x14ac:dyDescent="0.25">
      <c r="A149" s="11"/>
      <c r="B149" s="17" t="s">
        <v>178</v>
      </c>
      <c r="C149" s="19">
        <v>130251359.88000001</v>
      </c>
      <c r="D149" s="19">
        <v>62273461.189999998</v>
      </c>
    </row>
    <row r="150" spans="1:4" x14ac:dyDescent="0.25">
      <c r="A150" s="11"/>
      <c r="B150" s="17" t="s">
        <v>179</v>
      </c>
      <c r="C150" s="18">
        <v>2120474081.6800001</v>
      </c>
      <c r="D150" s="18">
        <v>1730186777.01</v>
      </c>
    </row>
    <row r="151" spans="1:4" x14ac:dyDescent="0.25">
      <c r="A151" s="11"/>
      <c r="B151" s="17" t="s">
        <v>180</v>
      </c>
      <c r="C151" s="18">
        <v>1990222721.8</v>
      </c>
      <c r="D151" s="18">
        <v>1667913315.8199999</v>
      </c>
    </row>
    <row r="152" spans="1:4" x14ac:dyDescent="0.25">
      <c r="A152" s="11"/>
      <c r="B152" s="17"/>
      <c r="C152" s="19"/>
      <c r="D152" s="19"/>
    </row>
    <row r="153" spans="1:4" x14ac:dyDescent="0.25">
      <c r="A153" s="11"/>
      <c r="B153" s="17"/>
      <c r="C153" s="19"/>
      <c r="D153" s="19"/>
    </row>
    <row r="154" spans="1:4" x14ac:dyDescent="0.25">
      <c r="A154" s="11"/>
      <c r="B154" s="17"/>
      <c r="C154" s="19"/>
      <c r="D154" s="19"/>
    </row>
    <row r="155" spans="1:4" x14ac:dyDescent="0.25">
      <c r="A155" s="11"/>
      <c r="B155" s="17"/>
      <c r="C155" s="19"/>
      <c r="D155" s="19"/>
    </row>
    <row r="156" spans="1:4" x14ac:dyDescent="0.25">
      <c r="A156" s="11"/>
      <c r="B156" s="17"/>
      <c r="C156" s="19"/>
      <c r="D156" s="19"/>
    </row>
    <row r="157" spans="1:4" x14ac:dyDescent="0.25">
      <c r="A157" s="11"/>
      <c r="B157" s="26"/>
      <c r="C157" s="26"/>
      <c r="D157" s="26"/>
    </row>
    <row r="158" spans="1:4" x14ac:dyDescent="0.25">
      <c r="A158" s="11"/>
      <c r="B158" s="27"/>
      <c r="C158" s="28"/>
      <c r="D158" s="28"/>
    </row>
    <row r="159" spans="1:4" x14ac:dyDescent="0.25">
      <c r="A159" s="11"/>
      <c r="B159" s="29"/>
      <c r="C159" s="30"/>
      <c r="D159" s="2">
        <v>9</v>
      </c>
    </row>
    <row r="160" spans="1:4" x14ac:dyDescent="0.25">
      <c r="A160" s="11"/>
      <c r="B160" s="27"/>
      <c r="C160" s="28"/>
      <c r="D160" s="26"/>
    </row>
    <row r="161" spans="1:4" x14ac:dyDescent="0.25">
      <c r="A161" s="11"/>
      <c r="B161" s="8"/>
      <c r="C161" s="6"/>
      <c r="D161" s="6"/>
    </row>
    <row r="162" spans="1:4" x14ac:dyDescent="0.25">
      <c r="A162" s="11"/>
      <c r="B162" s="282" t="s">
        <v>0</v>
      </c>
      <c r="C162" s="282"/>
      <c r="D162" s="282"/>
    </row>
    <row r="163" spans="1:4" x14ac:dyDescent="0.25">
      <c r="A163" s="11"/>
      <c r="B163" s="282" t="s">
        <v>1</v>
      </c>
      <c r="C163" s="282"/>
      <c r="D163" s="282"/>
    </row>
    <row r="164" spans="1:4" x14ac:dyDescent="0.25">
      <c r="A164" s="11"/>
      <c r="B164" s="281" t="str">
        <f>B4</f>
        <v>Al 31 DE ENERO 2023 Y 2022</v>
      </c>
      <c r="C164" s="281"/>
      <c r="D164" s="281"/>
    </row>
    <row r="165" spans="1:4" x14ac:dyDescent="0.25">
      <c r="A165" s="11"/>
      <c r="B165" s="282" t="s">
        <v>2</v>
      </c>
      <c r="C165" s="282"/>
      <c r="D165" s="282"/>
    </row>
    <row r="166" spans="1:4" x14ac:dyDescent="0.25">
      <c r="A166" s="11"/>
      <c r="B166" s="8"/>
      <c r="C166" s="5"/>
      <c r="D166" s="12"/>
    </row>
    <row r="167" spans="1:4" x14ac:dyDescent="0.25">
      <c r="A167" s="11"/>
      <c r="B167" s="13" t="s">
        <v>5</v>
      </c>
      <c r="C167" s="14">
        <v>2021</v>
      </c>
      <c r="D167" s="14">
        <v>2020</v>
      </c>
    </row>
    <row r="168" spans="1:4" x14ac:dyDescent="0.25">
      <c r="A168" s="11"/>
      <c r="B168" s="17" t="s">
        <v>177</v>
      </c>
      <c r="C168" s="18">
        <v>130251359.88000001</v>
      </c>
      <c r="D168" s="18">
        <v>62273461.189999998</v>
      </c>
    </row>
    <row r="169" spans="1:4" x14ac:dyDescent="0.25">
      <c r="A169" s="11"/>
      <c r="B169" s="17" t="s">
        <v>178</v>
      </c>
      <c r="C169" s="19">
        <v>130251359.88000001</v>
      </c>
      <c r="D169" s="19">
        <v>62273461.189999998</v>
      </c>
    </row>
    <row r="170" spans="1:4" x14ac:dyDescent="0.25">
      <c r="A170" s="11"/>
      <c r="B170" s="17" t="s">
        <v>179</v>
      </c>
      <c r="C170" s="18">
        <v>2120474081.6800001</v>
      </c>
      <c r="D170" s="18">
        <v>1730186777.01</v>
      </c>
    </row>
    <row r="171" spans="1:4" x14ac:dyDescent="0.25">
      <c r="A171" s="11"/>
      <c r="B171" s="17" t="s">
        <v>180</v>
      </c>
      <c r="C171" s="18">
        <v>1990222721.8</v>
      </c>
      <c r="D171" s="18">
        <v>1667913315.8199999</v>
      </c>
    </row>
    <row r="172" spans="1:4" x14ac:dyDescent="0.25">
      <c r="A172" s="11"/>
      <c r="B172" s="17" t="s">
        <v>181</v>
      </c>
      <c r="C172" s="19">
        <v>797199704.58000004</v>
      </c>
      <c r="D172" s="19">
        <v>763477540.75</v>
      </c>
    </row>
    <row r="173" spans="1:4" x14ac:dyDescent="0.25">
      <c r="A173" s="11"/>
      <c r="B173" s="17" t="s">
        <v>182</v>
      </c>
      <c r="C173" s="19">
        <v>127386103.60000001</v>
      </c>
      <c r="D173" s="19">
        <v>123794436.85000001</v>
      </c>
    </row>
    <row r="174" spans="1:4" x14ac:dyDescent="0.25">
      <c r="A174" s="11"/>
      <c r="B174" s="17" t="s">
        <v>183</v>
      </c>
      <c r="C174" s="19">
        <v>55755658.649999999</v>
      </c>
      <c r="D174" s="19">
        <v>43678621.57</v>
      </c>
    </row>
    <row r="175" spans="1:4" x14ac:dyDescent="0.25">
      <c r="A175" s="11"/>
      <c r="B175" s="17" t="s">
        <v>184</v>
      </c>
      <c r="C175" s="19">
        <v>963695844.09000003</v>
      </c>
      <c r="D175" s="19">
        <v>689791447.70000005</v>
      </c>
    </row>
    <row r="176" spans="1:4" x14ac:dyDescent="0.25">
      <c r="A176" s="11"/>
      <c r="B176" s="17" t="s">
        <v>185</v>
      </c>
      <c r="C176" s="19">
        <v>46185410.880000003</v>
      </c>
      <c r="D176" s="19">
        <v>47171268.950000003</v>
      </c>
    </row>
    <row r="177" spans="1:4" x14ac:dyDescent="0.25">
      <c r="A177" s="11"/>
      <c r="B177" s="17" t="s">
        <v>186</v>
      </c>
      <c r="C177" s="18">
        <v>100236128.05</v>
      </c>
      <c r="D177" s="18">
        <v>90944769.640000001</v>
      </c>
    </row>
    <row r="178" spans="1:4" x14ac:dyDescent="0.25">
      <c r="A178" s="11"/>
      <c r="B178" s="17" t="s">
        <v>187</v>
      </c>
      <c r="C178" s="19">
        <v>100236128.05</v>
      </c>
      <c r="D178" s="19">
        <v>90944769.640000001</v>
      </c>
    </row>
    <row r="179" spans="1:4" x14ac:dyDescent="0.25">
      <c r="A179" s="11"/>
      <c r="B179" s="15" t="s">
        <v>188</v>
      </c>
      <c r="C179" s="16">
        <v>524947233.40000004</v>
      </c>
      <c r="D179" s="16">
        <v>254218810.06</v>
      </c>
    </row>
    <row r="180" spans="1:4" x14ac:dyDescent="0.25">
      <c r="A180" s="11"/>
      <c r="B180" s="17" t="s">
        <v>189</v>
      </c>
      <c r="C180" s="19">
        <v>3435284.5700000003</v>
      </c>
      <c r="D180" s="19">
        <v>2660119.02</v>
      </c>
    </row>
    <row r="181" spans="1:4" x14ac:dyDescent="0.25">
      <c r="A181" s="11"/>
      <c r="B181" s="17" t="s">
        <v>190</v>
      </c>
      <c r="C181" s="19">
        <v>3313891.49</v>
      </c>
      <c r="D181" s="19">
        <v>1927327.81</v>
      </c>
    </row>
    <row r="182" spans="1:4" x14ac:dyDescent="0.25">
      <c r="A182" s="11"/>
      <c r="B182" s="17" t="s">
        <v>191</v>
      </c>
      <c r="C182" s="18">
        <v>7268618.4500000002</v>
      </c>
      <c r="D182" s="18">
        <v>6909028.9199999999</v>
      </c>
    </row>
    <row r="183" spans="1:4" x14ac:dyDescent="0.25">
      <c r="A183" s="11"/>
      <c r="B183" s="17" t="s">
        <v>192</v>
      </c>
      <c r="C183" s="19">
        <v>6864777.3500000006</v>
      </c>
      <c r="D183" s="19">
        <v>6546676.2599999998</v>
      </c>
    </row>
    <row r="184" spans="1:4" x14ac:dyDescent="0.25">
      <c r="A184" s="11"/>
      <c r="B184" s="17" t="s">
        <v>193</v>
      </c>
      <c r="C184" s="19">
        <v>48473</v>
      </c>
      <c r="D184" s="19">
        <v>45857.700000000004</v>
      </c>
    </row>
    <row r="185" spans="1:4" x14ac:dyDescent="0.25">
      <c r="A185" s="11"/>
      <c r="B185" s="17" t="s">
        <v>194</v>
      </c>
      <c r="C185" s="19">
        <v>23150</v>
      </c>
      <c r="D185" s="19">
        <v>28050</v>
      </c>
    </row>
    <row r="186" spans="1:4" x14ac:dyDescent="0.25">
      <c r="A186" s="11"/>
      <c r="B186" s="17" t="s">
        <v>195</v>
      </c>
      <c r="C186" s="19">
        <v>332218.10000000003</v>
      </c>
      <c r="D186" s="19">
        <v>288444.96000000002</v>
      </c>
    </row>
    <row r="187" spans="1:4" x14ac:dyDescent="0.25">
      <c r="A187" s="11"/>
      <c r="B187" s="17" t="s">
        <v>196</v>
      </c>
      <c r="C187" s="18">
        <v>18902766.969999999</v>
      </c>
      <c r="D187" s="18">
        <v>7661123.1799999997</v>
      </c>
    </row>
    <row r="188" spans="1:4" x14ac:dyDescent="0.25">
      <c r="A188" s="11"/>
      <c r="B188" s="17" t="s">
        <v>197</v>
      </c>
      <c r="C188" s="19">
        <v>18902766.969999999</v>
      </c>
      <c r="D188" s="19">
        <v>7661123.1799999997</v>
      </c>
    </row>
    <row r="189" spans="1:4" x14ac:dyDescent="0.25">
      <c r="A189" s="11"/>
      <c r="B189" s="17" t="s">
        <v>198</v>
      </c>
      <c r="C189" s="18">
        <v>279906405.41000003</v>
      </c>
      <c r="D189" s="18">
        <v>61821665.969999999</v>
      </c>
    </row>
    <row r="190" spans="1:4" x14ac:dyDescent="0.25">
      <c r="A190" s="11"/>
      <c r="B190" s="17" t="s">
        <v>199</v>
      </c>
      <c r="C190" s="18">
        <v>80703157.109999999</v>
      </c>
      <c r="D190" s="18">
        <v>26755404.23</v>
      </c>
    </row>
    <row r="191" spans="1:4" x14ac:dyDescent="0.25">
      <c r="A191" s="11"/>
      <c r="B191" s="17" t="s">
        <v>200</v>
      </c>
      <c r="C191" s="19">
        <v>59136865.289999999</v>
      </c>
      <c r="D191" s="19">
        <v>15721034.49</v>
      </c>
    </row>
    <row r="192" spans="1:4" x14ac:dyDescent="0.25">
      <c r="A192" s="11"/>
      <c r="B192" s="17" t="s">
        <v>201</v>
      </c>
      <c r="C192" s="19">
        <v>21566291.82</v>
      </c>
      <c r="D192" s="19">
        <v>11034369.74</v>
      </c>
    </row>
    <row r="193" spans="1:4" x14ac:dyDescent="0.25">
      <c r="A193" s="11"/>
      <c r="B193" s="17" t="s">
        <v>202</v>
      </c>
      <c r="C193" s="19">
        <v>53628697.259999998</v>
      </c>
      <c r="D193" s="19">
        <v>23305566.879999999</v>
      </c>
    </row>
    <row r="194" spans="1:4" x14ac:dyDescent="0.25">
      <c r="A194" s="11"/>
      <c r="B194" s="17" t="s">
        <v>203</v>
      </c>
      <c r="C194" s="19">
        <v>132742209.41</v>
      </c>
      <c r="D194" s="19">
        <v>934177.44000000006</v>
      </c>
    </row>
    <row r="195" spans="1:4" x14ac:dyDescent="0.25">
      <c r="A195" s="11"/>
      <c r="B195" s="17" t="s">
        <v>204</v>
      </c>
      <c r="C195" s="19">
        <v>352833.12</v>
      </c>
      <c r="D195" s="19">
        <v>255933.71</v>
      </c>
    </row>
    <row r="196" spans="1:4" x14ac:dyDescent="0.25">
      <c r="A196" s="11"/>
      <c r="B196" s="17" t="s">
        <v>205</v>
      </c>
      <c r="C196" s="19">
        <v>11978741.050000001</v>
      </c>
      <c r="D196" s="19">
        <v>10099816.25</v>
      </c>
    </row>
    <row r="197" spans="1:4" x14ac:dyDescent="0.25">
      <c r="A197" s="11"/>
      <c r="B197" s="17" t="s">
        <v>206</v>
      </c>
      <c r="C197" s="19">
        <v>500767.46</v>
      </c>
      <c r="D197" s="19">
        <v>470767.46</v>
      </c>
    </row>
    <row r="198" spans="1:4" x14ac:dyDescent="0.25">
      <c r="A198" s="11"/>
      <c r="B198" s="17" t="s">
        <v>207</v>
      </c>
      <c r="C198" s="18">
        <v>212120266.50999999</v>
      </c>
      <c r="D198" s="18">
        <v>173239545.16</v>
      </c>
    </row>
    <row r="199" spans="1:4" x14ac:dyDescent="0.25">
      <c r="A199" s="11"/>
      <c r="B199" s="17" t="s">
        <v>208</v>
      </c>
      <c r="C199" s="18">
        <v>212120266.50999999</v>
      </c>
      <c r="D199" s="18">
        <v>173239545.16</v>
      </c>
    </row>
    <row r="200" spans="1:4" x14ac:dyDescent="0.25">
      <c r="A200" s="11"/>
      <c r="B200" s="17" t="s">
        <v>209</v>
      </c>
      <c r="C200" s="19">
        <v>160733522.22</v>
      </c>
      <c r="D200" s="19">
        <v>139282676.96000001</v>
      </c>
    </row>
    <row r="201" spans="1:4" x14ac:dyDescent="0.25">
      <c r="A201" s="11"/>
      <c r="B201" s="17" t="s">
        <v>210</v>
      </c>
      <c r="C201" s="19">
        <v>13545.56</v>
      </c>
      <c r="D201" s="19">
        <v>13545.56</v>
      </c>
    </row>
    <row r="202" spans="1:4" x14ac:dyDescent="0.25">
      <c r="A202" s="11"/>
      <c r="B202" s="17" t="s">
        <v>211</v>
      </c>
      <c r="C202" s="19">
        <v>3098094.73</v>
      </c>
      <c r="D202" s="19">
        <v>3098094.73</v>
      </c>
    </row>
    <row r="203" spans="1:4" x14ac:dyDescent="0.25">
      <c r="A203" s="11"/>
      <c r="B203" s="17" t="s">
        <v>212</v>
      </c>
      <c r="C203" s="19">
        <v>48275104</v>
      </c>
      <c r="D203" s="19">
        <v>30845227.91</v>
      </c>
    </row>
    <row r="204" spans="1:4" x14ac:dyDescent="0.25">
      <c r="A204" s="11"/>
      <c r="B204" s="15" t="s">
        <v>213</v>
      </c>
      <c r="C204" s="16">
        <v>199368745.95000002</v>
      </c>
      <c r="D204" s="16">
        <v>190270005.50999999</v>
      </c>
    </row>
    <row r="205" spans="1:4" x14ac:dyDescent="0.25">
      <c r="A205" s="11"/>
      <c r="B205" s="17" t="s">
        <v>214</v>
      </c>
      <c r="C205" s="18">
        <v>197383912.12</v>
      </c>
      <c r="D205" s="18">
        <v>188698808.46000001</v>
      </c>
    </row>
    <row r="206" spans="1:4" x14ac:dyDescent="0.25">
      <c r="A206" s="11"/>
      <c r="B206" s="17" t="s">
        <v>215</v>
      </c>
      <c r="C206" s="18">
        <v>121829.16</v>
      </c>
      <c r="D206" s="18">
        <v>75253.62</v>
      </c>
    </row>
    <row r="207" spans="1:4" x14ac:dyDescent="0.25">
      <c r="A207" s="11"/>
      <c r="B207" s="17" t="s">
        <v>216</v>
      </c>
      <c r="C207" s="19">
        <v>121829.16</v>
      </c>
      <c r="D207" s="19">
        <v>75253.62</v>
      </c>
    </row>
    <row r="208" spans="1:4" x14ac:dyDescent="0.25">
      <c r="A208" s="11"/>
      <c r="B208" s="17" t="s">
        <v>217</v>
      </c>
      <c r="C208" s="18">
        <v>197262082.96000001</v>
      </c>
      <c r="D208" s="18">
        <v>188623554.84</v>
      </c>
    </row>
    <row r="209" spans="1:4" x14ac:dyDescent="0.25">
      <c r="A209" s="11"/>
      <c r="B209" s="17" t="s">
        <v>218</v>
      </c>
      <c r="C209" s="19">
        <v>93352121.310000002</v>
      </c>
      <c r="D209" s="19">
        <v>56756285.939999998</v>
      </c>
    </row>
    <row r="210" spans="1:4" x14ac:dyDescent="0.25">
      <c r="A210" s="11"/>
      <c r="B210" s="17" t="s">
        <v>219</v>
      </c>
      <c r="C210" s="19">
        <v>85770667</v>
      </c>
      <c r="D210" s="19">
        <v>14188314.800000001</v>
      </c>
    </row>
    <row r="211" spans="1:4" x14ac:dyDescent="0.25">
      <c r="A211" s="11"/>
      <c r="B211" s="8"/>
      <c r="C211" s="6"/>
      <c r="D211" s="6"/>
    </row>
    <row r="212" spans="1:4" x14ac:dyDescent="0.25">
      <c r="A212" s="11"/>
      <c r="B212" s="8"/>
      <c r="C212" s="6"/>
    </row>
    <row r="213" spans="1:4" x14ac:dyDescent="0.25">
      <c r="A213" s="11"/>
      <c r="B213" s="8"/>
      <c r="C213" s="28"/>
      <c r="D213" s="26"/>
    </row>
    <row r="214" spans="1:4" x14ac:dyDescent="0.25">
      <c r="A214" s="11"/>
      <c r="B214" s="8"/>
      <c r="C214" s="28"/>
      <c r="D214" s="26"/>
    </row>
    <row r="215" spans="1:4" x14ac:dyDescent="0.25">
      <c r="A215" s="11"/>
      <c r="B215" s="8"/>
      <c r="C215" s="28"/>
      <c r="D215" s="26"/>
    </row>
    <row r="216" spans="1:4" x14ac:dyDescent="0.25">
      <c r="A216" s="11"/>
      <c r="B216" s="8"/>
      <c r="C216" s="28"/>
      <c r="D216" s="26"/>
    </row>
    <row r="217" spans="1:4" x14ac:dyDescent="0.25">
      <c r="A217" s="11"/>
      <c r="B217" s="8"/>
      <c r="C217" s="28"/>
      <c r="D217" s="26"/>
    </row>
    <row r="218" spans="1:4" x14ac:dyDescent="0.25">
      <c r="A218" s="11"/>
      <c r="B218" s="8"/>
      <c r="C218" s="28"/>
      <c r="D218" s="26"/>
    </row>
    <row r="219" spans="1:4" x14ac:dyDescent="0.25">
      <c r="A219" s="11"/>
      <c r="B219" s="8"/>
      <c r="C219" s="28"/>
      <c r="D219" s="26"/>
    </row>
    <row r="220" spans="1:4" x14ac:dyDescent="0.25">
      <c r="A220" s="11"/>
      <c r="B220" s="8"/>
      <c r="C220" s="28"/>
      <c r="D220" s="2">
        <v>10</v>
      </c>
    </row>
    <row r="221" spans="1:4" x14ac:dyDescent="0.25">
      <c r="A221" s="11"/>
      <c r="B221" s="8"/>
      <c r="C221" s="6"/>
      <c r="D221" s="6"/>
    </row>
    <row r="222" spans="1:4" x14ac:dyDescent="0.25">
      <c r="A222" s="11"/>
      <c r="B222" s="282" t="s">
        <v>0</v>
      </c>
      <c r="C222" s="282"/>
      <c r="D222" s="282"/>
    </row>
    <row r="223" spans="1:4" x14ac:dyDescent="0.25">
      <c r="A223" s="11"/>
      <c r="B223" s="282" t="s">
        <v>1</v>
      </c>
      <c r="C223" s="282"/>
      <c r="D223" s="282"/>
    </row>
    <row r="224" spans="1:4" x14ac:dyDescent="0.25">
      <c r="A224" s="11"/>
      <c r="B224" s="281" t="str">
        <f>B4</f>
        <v>Al 31 DE ENERO 2023 Y 2022</v>
      </c>
      <c r="C224" s="281"/>
      <c r="D224" s="281"/>
    </row>
    <row r="225" spans="1:4" x14ac:dyDescent="0.25">
      <c r="A225" s="11"/>
      <c r="B225" s="282" t="s">
        <v>2</v>
      </c>
      <c r="C225" s="282"/>
      <c r="D225" s="282"/>
    </row>
    <row r="226" spans="1:4" x14ac:dyDescent="0.25">
      <c r="A226" s="11"/>
      <c r="B226" s="8"/>
      <c r="C226" s="5"/>
      <c r="D226" s="12"/>
    </row>
    <row r="227" spans="1:4" x14ac:dyDescent="0.25">
      <c r="A227" s="11"/>
      <c r="B227" s="13" t="s">
        <v>5</v>
      </c>
      <c r="C227" s="14">
        <v>2021</v>
      </c>
      <c r="D227" s="14">
        <v>2020</v>
      </c>
    </row>
    <row r="228" spans="1:4" x14ac:dyDescent="0.25">
      <c r="A228" s="11"/>
      <c r="B228" s="17" t="s">
        <v>220</v>
      </c>
      <c r="C228" s="19">
        <v>3575287.35</v>
      </c>
      <c r="D228" s="19">
        <v>3015287.35</v>
      </c>
    </row>
    <row r="229" spans="1:4" x14ac:dyDescent="0.25">
      <c r="A229" s="11"/>
      <c r="B229" s="17" t="s">
        <v>221</v>
      </c>
      <c r="C229" s="19">
        <v>1611818</v>
      </c>
      <c r="D229" s="19">
        <v>753994.1</v>
      </c>
    </row>
    <row r="230" spans="1:4" x14ac:dyDescent="0.25">
      <c r="A230" s="11"/>
      <c r="B230" s="17" t="s">
        <v>222</v>
      </c>
      <c r="C230" s="19">
        <v>128529.79000000001</v>
      </c>
      <c r="D230" s="19">
        <v>121972.5</v>
      </c>
    </row>
    <row r="231" spans="1:4" x14ac:dyDescent="0.25">
      <c r="A231" s="11"/>
      <c r="B231" s="17" t="s">
        <v>223</v>
      </c>
      <c r="C231" s="19">
        <v>7300119.6299999999</v>
      </c>
      <c r="D231" s="19">
        <v>10114309.23</v>
      </c>
    </row>
    <row r="232" spans="1:4" x14ac:dyDescent="0.25">
      <c r="A232" s="11"/>
      <c r="B232" s="17" t="s">
        <v>224</v>
      </c>
      <c r="C232" s="19">
        <v>659989.48</v>
      </c>
      <c r="D232" s="19">
        <v>102739198.46000001</v>
      </c>
    </row>
    <row r="233" spans="1:4" x14ac:dyDescent="0.25">
      <c r="A233" s="11"/>
      <c r="B233" s="17" t="s">
        <v>225</v>
      </c>
      <c r="C233" s="19">
        <v>4863550.4000000004</v>
      </c>
      <c r="D233" s="19">
        <v>934192.46</v>
      </c>
    </row>
    <row r="234" spans="1:4" x14ac:dyDescent="0.25">
      <c r="A234" s="11"/>
      <c r="B234" s="17" t="s">
        <v>226</v>
      </c>
      <c r="C234" s="18">
        <v>1984833.83</v>
      </c>
      <c r="D234" s="18">
        <v>1571197.05</v>
      </c>
    </row>
    <row r="235" spans="1:4" x14ac:dyDescent="0.25">
      <c r="A235" s="11"/>
      <c r="B235" s="17" t="s">
        <v>227</v>
      </c>
      <c r="C235" s="19">
        <v>1984833.83</v>
      </c>
      <c r="D235" s="19">
        <v>1571197.05</v>
      </c>
    </row>
    <row r="236" spans="1:4" x14ac:dyDescent="0.25">
      <c r="A236" s="11"/>
      <c r="B236" s="15" t="s">
        <v>228</v>
      </c>
      <c r="C236" s="16">
        <v>211467362.19</v>
      </c>
      <c r="D236" s="16">
        <v>1102010248.28</v>
      </c>
    </row>
    <row r="237" spans="1:4" x14ac:dyDescent="0.25">
      <c r="A237" s="11"/>
      <c r="B237" s="17" t="s">
        <v>229</v>
      </c>
      <c r="C237" s="18">
        <v>7542471.7599999998</v>
      </c>
      <c r="D237" s="18">
        <v>6474972.9500000002</v>
      </c>
    </row>
    <row r="238" spans="1:4" x14ac:dyDescent="0.25">
      <c r="A238" s="11"/>
      <c r="B238" s="17" t="s">
        <v>230</v>
      </c>
      <c r="C238" s="19">
        <v>6450</v>
      </c>
      <c r="D238" s="19">
        <v>6450</v>
      </c>
    </row>
    <row r="239" spans="1:4" x14ac:dyDescent="0.25">
      <c r="A239" s="11"/>
      <c r="B239" s="17" t="s">
        <v>231</v>
      </c>
      <c r="C239" s="19">
        <v>7536021.7599999998</v>
      </c>
      <c r="D239" s="19">
        <v>6468522.9500000002</v>
      </c>
    </row>
    <row r="240" spans="1:4" x14ac:dyDescent="0.25">
      <c r="A240" s="11"/>
      <c r="B240" s="17" t="s">
        <v>232</v>
      </c>
      <c r="C240" s="18">
        <v>203021190.74000001</v>
      </c>
      <c r="D240" s="18">
        <v>1094506677.6200001</v>
      </c>
    </row>
    <row r="241" spans="1:4" x14ac:dyDescent="0.25">
      <c r="A241" s="11"/>
      <c r="B241" s="17" t="s">
        <v>233</v>
      </c>
      <c r="C241" s="19">
        <v>2332506.4900000002</v>
      </c>
      <c r="D241" s="19">
        <v>2933980.38</v>
      </c>
    </row>
    <row r="242" spans="1:4" x14ac:dyDescent="0.25">
      <c r="A242" s="11"/>
      <c r="B242" s="17" t="s">
        <v>234</v>
      </c>
      <c r="C242" s="19">
        <v>145900248.22</v>
      </c>
      <c r="D242" s="19">
        <v>73059817.950000003</v>
      </c>
    </row>
    <row r="243" spans="1:4" x14ac:dyDescent="0.25">
      <c r="A243" s="11"/>
      <c r="B243" s="17" t="s">
        <v>235</v>
      </c>
      <c r="C243" s="19">
        <v>10000000</v>
      </c>
      <c r="D243" s="19">
        <v>10000000</v>
      </c>
    </row>
    <row r="244" spans="1:4" x14ac:dyDescent="0.25">
      <c r="A244" s="11"/>
      <c r="B244" s="17" t="s">
        <v>236</v>
      </c>
      <c r="C244" s="19">
        <v>37891.379999999997</v>
      </c>
      <c r="D244" s="19">
        <v>37891.379999999997</v>
      </c>
    </row>
    <row r="245" spans="1:4" x14ac:dyDescent="0.25">
      <c r="A245" s="11"/>
      <c r="B245" s="17" t="s">
        <v>237</v>
      </c>
      <c r="C245" s="19">
        <v>897340.24</v>
      </c>
      <c r="D245" s="19">
        <v>339379.58</v>
      </c>
    </row>
    <row r="246" spans="1:4" x14ac:dyDescent="0.25">
      <c r="A246" s="11"/>
      <c r="B246" s="17" t="s">
        <v>238</v>
      </c>
      <c r="C246" s="19">
        <v>41154.65</v>
      </c>
      <c r="D246" s="19">
        <v>0.1</v>
      </c>
    </row>
    <row r="247" spans="1:4" x14ac:dyDescent="0.25">
      <c r="A247" s="11"/>
      <c r="B247" s="17" t="s">
        <v>239</v>
      </c>
      <c r="C247" s="19">
        <v>38965.79</v>
      </c>
      <c r="D247" s="19">
        <v>0</v>
      </c>
    </row>
    <row r="248" spans="1:4" x14ac:dyDescent="0.25">
      <c r="A248" s="11"/>
      <c r="B248" s="17" t="s">
        <v>240</v>
      </c>
      <c r="C248" s="19">
        <v>716950.55</v>
      </c>
      <c r="D248" s="19">
        <v>1385773.51</v>
      </c>
    </row>
    <row r="249" spans="1:4" x14ac:dyDescent="0.25">
      <c r="A249" s="11"/>
      <c r="B249" s="17" t="s">
        <v>241</v>
      </c>
      <c r="C249" s="19">
        <v>43056133.420000002</v>
      </c>
      <c r="D249" s="19">
        <v>1006749834.72</v>
      </c>
    </row>
    <row r="250" spans="1:4" x14ac:dyDescent="0.25">
      <c r="A250" s="11"/>
      <c r="B250" s="17" t="s">
        <v>268</v>
      </c>
      <c r="C250" s="19">
        <v>516359569.30000001</v>
      </c>
      <c r="D250" s="19">
        <v>0</v>
      </c>
    </row>
    <row r="251" spans="1:4" x14ac:dyDescent="0.25">
      <c r="A251" s="11"/>
      <c r="B251" s="17" t="s">
        <v>242</v>
      </c>
      <c r="C251" s="18">
        <v>903699.69000000006</v>
      </c>
      <c r="D251" s="18">
        <v>1028597.7100000001</v>
      </c>
    </row>
    <row r="252" spans="1:4" x14ac:dyDescent="0.25">
      <c r="A252" s="11"/>
      <c r="B252" s="17" t="s">
        <v>243</v>
      </c>
      <c r="C252" s="19">
        <v>898257.93</v>
      </c>
      <c r="D252" s="19">
        <v>1028597.7100000001</v>
      </c>
    </row>
    <row r="253" spans="1:4" x14ac:dyDescent="0.25">
      <c r="A253" s="11"/>
      <c r="B253" s="17" t="s">
        <v>244</v>
      </c>
      <c r="C253" s="19">
        <v>5441.76</v>
      </c>
      <c r="D253" s="19">
        <v>0</v>
      </c>
    </row>
    <row r="254" spans="1:4" x14ac:dyDescent="0.25">
      <c r="A254" s="11"/>
      <c r="B254" s="15" t="s">
        <v>245</v>
      </c>
      <c r="C254" s="16">
        <v>18027674444.549999</v>
      </c>
      <c r="D254" s="16">
        <v>16142286956.84</v>
      </c>
    </row>
    <row r="255" spans="1:4" x14ac:dyDescent="0.25">
      <c r="A255" s="11"/>
      <c r="B255" s="15"/>
      <c r="C255" s="16"/>
      <c r="D255" s="16"/>
    </row>
    <row r="256" spans="1:4" x14ac:dyDescent="0.25">
      <c r="A256" s="11"/>
      <c r="B256" s="15" t="s">
        <v>247</v>
      </c>
      <c r="C256" s="16">
        <v>7531578741.0900002</v>
      </c>
      <c r="D256" s="16">
        <v>7531578741.0900002</v>
      </c>
    </row>
    <row r="257" spans="1:4" x14ac:dyDescent="0.25">
      <c r="A257" s="11"/>
      <c r="B257" s="17" t="s">
        <v>248</v>
      </c>
      <c r="C257" s="18">
        <v>50000000</v>
      </c>
      <c r="D257" s="18">
        <v>50000000</v>
      </c>
    </row>
    <row r="258" spans="1:4" x14ac:dyDescent="0.25">
      <c r="A258" s="11"/>
      <c r="B258" s="17" t="s">
        <v>249</v>
      </c>
      <c r="C258" s="19">
        <v>50000000</v>
      </c>
      <c r="D258" s="19">
        <v>50000000</v>
      </c>
    </row>
    <row r="259" spans="1:4" x14ac:dyDescent="0.25">
      <c r="A259" s="11"/>
      <c r="B259" s="17" t="s">
        <v>250</v>
      </c>
      <c r="C259" s="18">
        <v>7481578741.0900002</v>
      </c>
      <c r="D259" s="18">
        <v>7481578741.0900002</v>
      </c>
    </row>
    <row r="260" spans="1:4" x14ac:dyDescent="0.25">
      <c r="A260" s="11"/>
      <c r="B260" s="17" t="s">
        <v>251</v>
      </c>
      <c r="C260" s="19">
        <v>7039253101.3699999</v>
      </c>
      <c r="D260" s="19">
        <v>7039253101.3699999</v>
      </c>
    </row>
    <row r="261" spans="1:4" x14ac:dyDescent="0.25">
      <c r="A261" s="11"/>
      <c r="B261" s="17" t="s">
        <v>252</v>
      </c>
      <c r="C261" s="19">
        <v>442325639.72000003</v>
      </c>
      <c r="D261" s="19">
        <v>442325639.72000003</v>
      </c>
    </row>
    <row r="262" spans="1:4" x14ac:dyDescent="0.25">
      <c r="A262" s="11"/>
      <c r="B262" s="15" t="s">
        <v>253</v>
      </c>
      <c r="C262" s="16">
        <v>4858384077.1300001</v>
      </c>
      <c r="D262" s="16">
        <v>3775050748.1300001</v>
      </c>
    </row>
    <row r="263" spans="1:4" x14ac:dyDescent="0.25">
      <c r="A263" s="11"/>
      <c r="B263" s="17" t="s">
        <v>254</v>
      </c>
      <c r="C263" s="18">
        <v>4858384077.1300001</v>
      </c>
      <c r="D263" s="18">
        <v>3775050748.1300001</v>
      </c>
    </row>
    <row r="264" spans="1:4" x14ac:dyDescent="0.25">
      <c r="A264" s="11"/>
      <c r="B264" s="17" t="s">
        <v>255</v>
      </c>
      <c r="C264" s="18">
        <v>4858384077.1300001</v>
      </c>
      <c r="D264" s="18">
        <v>3775050748.1300001</v>
      </c>
    </row>
    <row r="265" spans="1:4" x14ac:dyDescent="0.25">
      <c r="A265" s="11"/>
      <c r="B265" s="17" t="s">
        <v>256</v>
      </c>
      <c r="C265" s="19">
        <v>4852671936.71</v>
      </c>
      <c r="D265" s="19">
        <v>3769338607.71</v>
      </c>
    </row>
    <row r="266" spans="1:4" x14ac:dyDescent="0.25">
      <c r="A266" s="11"/>
      <c r="B266" s="17" t="s">
        <v>257</v>
      </c>
      <c r="C266" s="19">
        <v>5712140.4199999999</v>
      </c>
      <c r="D266" s="19">
        <v>5712140.4199999999</v>
      </c>
    </row>
    <row r="267" spans="1:4" x14ac:dyDescent="0.25">
      <c r="A267" s="11"/>
      <c r="B267" s="15" t="s">
        <v>258</v>
      </c>
      <c r="C267" s="16">
        <v>135073145.84999999</v>
      </c>
      <c r="D267" s="16">
        <v>135073145.84999999</v>
      </c>
    </row>
    <row r="268" spans="1:4" x14ac:dyDescent="0.25">
      <c r="A268" s="11"/>
      <c r="B268" s="17" t="s">
        <v>259</v>
      </c>
      <c r="C268" s="18">
        <v>135073145.84999999</v>
      </c>
      <c r="D268" s="18">
        <v>135073145.84999999</v>
      </c>
    </row>
    <row r="269" spans="1:4" x14ac:dyDescent="0.25">
      <c r="A269" s="11"/>
      <c r="B269" s="17" t="s">
        <v>260</v>
      </c>
      <c r="C269" s="19">
        <v>43813813.969999999</v>
      </c>
      <c r="D269" s="19">
        <v>43813813.969999999</v>
      </c>
    </row>
    <row r="270" spans="1:4" x14ac:dyDescent="0.25">
      <c r="A270" s="11"/>
      <c r="B270" s="17" t="s">
        <v>261</v>
      </c>
      <c r="C270" s="19">
        <v>91259331.879999995</v>
      </c>
      <c r="D270" s="19">
        <v>91259331.879999995</v>
      </c>
    </row>
    <row r="271" spans="1:4" x14ac:dyDescent="0.25">
      <c r="A271" s="11"/>
      <c r="B271" s="15" t="s">
        <v>262</v>
      </c>
      <c r="C271" s="16">
        <v>8275915.4300000006</v>
      </c>
      <c r="D271" s="16">
        <v>978504538.63999999</v>
      </c>
    </row>
    <row r="272" spans="1:4" x14ac:dyDescent="0.25">
      <c r="A272" s="11"/>
      <c r="B272" s="17" t="s">
        <v>263</v>
      </c>
      <c r="C272" s="19">
        <v>8275915.4300000006</v>
      </c>
      <c r="D272" s="19">
        <v>978504538.63999999</v>
      </c>
    </row>
    <row r="273" spans="1:4" x14ac:dyDescent="0.25">
      <c r="A273" s="11"/>
      <c r="B273" s="15" t="s">
        <v>264</v>
      </c>
      <c r="C273" s="16">
        <v>274033827.68000001</v>
      </c>
      <c r="D273" s="16">
        <v>151077772.25999999</v>
      </c>
    </row>
    <row r="274" spans="1:4" x14ac:dyDescent="0.25">
      <c r="A274" s="11"/>
      <c r="B274" s="17" t="s">
        <v>265</v>
      </c>
      <c r="C274" s="19">
        <v>274033827.68000001</v>
      </c>
      <c r="D274" s="19">
        <v>151077772.25999999</v>
      </c>
    </row>
    <row r="275" spans="1:4" x14ac:dyDescent="0.25">
      <c r="A275" s="11"/>
      <c r="B275" s="15" t="s">
        <v>266</v>
      </c>
      <c r="C275" s="16">
        <v>12807345707.18</v>
      </c>
      <c r="D275" s="16">
        <v>12571284945.969999</v>
      </c>
    </row>
    <row r="276" spans="1:4" ht="16.5" thickBot="1" x14ac:dyDescent="0.3">
      <c r="A276" s="11"/>
      <c r="B276" s="15" t="s">
        <v>267</v>
      </c>
      <c r="C276" s="24">
        <v>30835020151.73</v>
      </c>
      <c r="D276" s="24">
        <v>28713571902.810001</v>
      </c>
    </row>
    <row r="277" spans="1:4" ht="16.5" thickTop="1" x14ac:dyDescent="0.25">
      <c r="A277" s="11"/>
      <c r="B277" s="3"/>
      <c r="C277" s="31"/>
      <c r="D277" s="31"/>
    </row>
    <row r="278" spans="1:4" x14ac:dyDescent="0.25">
      <c r="A278" s="11"/>
      <c r="B278" s="27"/>
      <c r="C278" s="11"/>
      <c r="D278" s="11"/>
    </row>
    <row r="279" spans="1:4" x14ac:dyDescent="0.25">
      <c r="A279" s="11"/>
      <c r="B279" s="11"/>
      <c r="C279" s="11"/>
      <c r="D279" s="11"/>
    </row>
    <row r="280" spans="1:4" x14ac:dyDescent="0.25">
      <c r="A280" s="11"/>
      <c r="B280" s="11"/>
      <c r="C280" s="11"/>
      <c r="D280" s="32">
        <v>11</v>
      </c>
    </row>
    <row r="281" spans="1:4" x14ac:dyDescent="0.25">
      <c r="A281" s="11"/>
      <c r="B281" s="11"/>
      <c r="C281" s="11"/>
    </row>
    <row r="282" spans="1:4" x14ac:dyDescent="0.25">
      <c r="A282" s="11"/>
      <c r="B282" s="11"/>
      <c r="C282" s="11"/>
      <c r="D282" s="11"/>
    </row>
    <row r="283" spans="1:4" x14ac:dyDescent="0.25">
      <c r="B283" s="26"/>
      <c r="C283" s="26"/>
      <c r="D283" s="26"/>
    </row>
    <row r="284" spans="1:4" x14ac:dyDescent="0.25">
      <c r="B284" s="26"/>
      <c r="C284" s="26"/>
      <c r="D284" s="26"/>
    </row>
    <row r="285" spans="1:4" x14ac:dyDescent="0.25">
      <c r="B285" s="26"/>
      <c r="C285" s="26"/>
      <c r="D285" s="26"/>
    </row>
    <row r="286" spans="1:4" x14ac:dyDescent="0.25">
      <c r="B286" s="26"/>
      <c r="C286" s="26"/>
      <c r="D286" s="26"/>
    </row>
    <row r="287" spans="1:4" x14ac:dyDescent="0.25">
      <c r="B287" s="26"/>
      <c r="C287" s="26"/>
      <c r="D287" s="26"/>
    </row>
    <row r="288" spans="1:4" x14ac:dyDescent="0.25">
      <c r="B288" s="26"/>
      <c r="C288" s="26"/>
      <c r="D288" s="26"/>
    </row>
    <row r="289" spans="2:4" x14ac:dyDescent="0.25">
      <c r="B289" s="26"/>
      <c r="C289" s="26"/>
      <c r="D289" s="26"/>
    </row>
  </sheetData>
  <mergeCells count="21">
    <mergeCell ref="B63:D63"/>
    <mergeCell ref="B64:D64"/>
    <mergeCell ref="B109:D109"/>
    <mergeCell ref="B110:D110"/>
    <mergeCell ref="B111:D111"/>
    <mergeCell ref="A1:D1"/>
    <mergeCell ref="B224:D224"/>
    <mergeCell ref="B225:D225"/>
    <mergeCell ref="B162:D162"/>
    <mergeCell ref="B163:D163"/>
    <mergeCell ref="B164:D164"/>
    <mergeCell ref="B165:D165"/>
    <mergeCell ref="B222:D222"/>
    <mergeCell ref="B223:D223"/>
    <mergeCell ref="B112:D112"/>
    <mergeCell ref="B2:D2"/>
    <mergeCell ref="B3:D3"/>
    <mergeCell ref="B4:D4"/>
    <mergeCell ref="B5:D5"/>
    <mergeCell ref="B61:D61"/>
    <mergeCell ref="B62:D62"/>
  </mergeCells>
  <pageMargins left="0.7" right="0.7" top="0.75" bottom="0.75" header="0.3" footer="0.3"/>
  <pageSetup scale="74" orientation="portrait" horizontalDpi="300" verticalDpi="300" r:id="rId1"/>
  <rowBreaks count="4" manualBreakCount="4">
    <brk id="58" max="16383" man="1"/>
    <brk id="107" max="16383" man="1"/>
    <brk id="160" max="16383" man="1"/>
    <brk id="22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3">
    <tabColor theme="7"/>
  </sheetPr>
  <dimension ref="A1:H167"/>
  <sheetViews>
    <sheetView tabSelected="1" topLeftCell="A82" zoomScaleNormal="100" workbookViewId="0">
      <selection activeCell="J54" sqref="J54"/>
    </sheetView>
  </sheetViews>
  <sheetFormatPr baseColWidth="10" defaultColWidth="8.28515625" defaultRowHeight="17.25" x14ac:dyDescent="0.3"/>
  <cols>
    <col min="1" max="1" width="13.7109375" style="207" customWidth="1"/>
    <col min="2" max="2" width="69.140625" style="232" customWidth="1"/>
    <col min="3" max="3" width="20" style="232" customWidth="1"/>
    <col min="4" max="4" width="23.140625" style="232" customWidth="1"/>
    <col min="5" max="5" width="1.5703125" style="206" customWidth="1"/>
    <col min="6" max="6" width="8.28515625" style="206" customWidth="1"/>
    <col min="7" max="8" width="20.5703125" style="206" bestFit="1" customWidth="1"/>
    <col min="9" max="9" width="19.85546875" style="206" bestFit="1" customWidth="1"/>
    <col min="10" max="10" width="18.140625" style="206" customWidth="1"/>
    <col min="11" max="177" width="8.28515625" style="206" customWidth="1"/>
    <col min="178" max="16384" width="8.28515625" style="206"/>
  </cols>
  <sheetData>
    <row r="1" spans="1:8" x14ac:dyDescent="0.3">
      <c r="A1" s="283" t="s">
        <v>0</v>
      </c>
      <c r="B1" s="283"/>
      <c r="C1" s="283"/>
      <c r="D1" s="265"/>
    </row>
    <row r="2" spans="1:8" x14ac:dyDescent="0.3">
      <c r="A2" s="283" t="s">
        <v>535</v>
      </c>
      <c r="B2" s="283"/>
      <c r="C2" s="283"/>
      <c r="D2" s="265"/>
    </row>
    <row r="3" spans="1:8" x14ac:dyDescent="0.3">
      <c r="A3" s="283" t="str">
        <f>+FECHAS!B4</f>
        <v>AL 30 DE SEPTIEMBRE 2024 Y 2023</v>
      </c>
      <c r="B3" s="283"/>
      <c r="C3" s="283"/>
      <c r="D3" s="265"/>
      <c r="H3" s="159"/>
    </row>
    <row r="4" spans="1:8" x14ac:dyDescent="0.3">
      <c r="A4" s="283" t="s">
        <v>2</v>
      </c>
      <c r="B4" s="283"/>
      <c r="C4" s="283"/>
      <c r="D4" s="265"/>
    </row>
    <row r="5" spans="1:8" x14ac:dyDescent="0.3">
      <c r="B5" s="208" t="s">
        <v>536</v>
      </c>
      <c r="C5" s="273" t="s">
        <v>579</v>
      </c>
      <c r="D5" s="269" t="s">
        <v>578</v>
      </c>
    </row>
    <row r="6" spans="1:8" x14ac:dyDescent="0.3">
      <c r="B6" s="209" t="s">
        <v>586</v>
      </c>
      <c r="C6" s="275">
        <v>2225654369.8400002</v>
      </c>
      <c r="D6" s="210">
        <v>2142263508.3300002</v>
      </c>
    </row>
    <row r="7" spans="1:8" x14ac:dyDescent="0.3">
      <c r="B7" s="209" t="s">
        <v>537</v>
      </c>
      <c r="C7" s="277">
        <v>254033498.39000002</v>
      </c>
      <c r="D7" s="210">
        <v>155252812.28999999</v>
      </c>
    </row>
    <row r="8" spans="1:8" x14ac:dyDescent="0.3">
      <c r="B8" s="209" t="s">
        <v>619</v>
      </c>
      <c r="C8" s="210">
        <v>0</v>
      </c>
      <c r="D8" s="210">
        <v>0</v>
      </c>
    </row>
    <row r="9" spans="1:8" x14ac:dyDescent="0.3">
      <c r="B9" s="209" t="s">
        <v>538</v>
      </c>
      <c r="C9" s="210">
        <v>434349973.31000006</v>
      </c>
      <c r="D9" s="210">
        <v>441268511.97000003</v>
      </c>
    </row>
    <row r="10" spans="1:8" x14ac:dyDescent="0.3">
      <c r="B10" s="209" t="s">
        <v>539</v>
      </c>
      <c r="C10" s="210">
        <v>-224273908.96000001</v>
      </c>
      <c r="D10" s="210">
        <v>-241439693.17000002</v>
      </c>
    </row>
    <row r="11" spans="1:8" x14ac:dyDescent="0.3">
      <c r="B11" s="209" t="s">
        <v>587</v>
      </c>
      <c r="C11" s="210">
        <v>-223253773.53</v>
      </c>
      <c r="D11" s="210">
        <v>-243944934.53999999</v>
      </c>
    </row>
    <row r="12" spans="1:8" x14ac:dyDescent="0.3">
      <c r="B12" s="209" t="s">
        <v>540</v>
      </c>
      <c r="C12" s="210">
        <v>-2240578634.5</v>
      </c>
      <c r="D12" s="210">
        <v>-1767553456.9299998</v>
      </c>
    </row>
    <row r="13" spans="1:8" x14ac:dyDescent="0.3">
      <c r="B13" s="209" t="s">
        <v>541</v>
      </c>
      <c r="C13" s="210">
        <v>-58612837.460000001</v>
      </c>
      <c r="D13" s="210">
        <v>-14085664.449999999</v>
      </c>
    </row>
    <row r="14" spans="1:8" x14ac:dyDescent="0.3">
      <c r="B14" s="211" t="s">
        <v>588</v>
      </c>
      <c r="C14" s="210">
        <v>1301052107.1600096</v>
      </c>
      <c r="D14" s="210">
        <v>-2412891406.2499995</v>
      </c>
    </row>
    <row r="15" spans="1:8" hidden="1" x14ac:dyDescent="0.3">
      <c r="B15" s="209" t="s">
        <v>542</v>
      </c>
      <c r="C15" s="210">
        <v>0</v>
      </c>
      <c r="D15" s="210"/>
    </row>
    <row r="16" spans="1:8" x14ac:dyDescent="0.3">
      <c r="B16" s="211"/>
      <c r="C16" s="210"/>
      <c r="D16" s="206"/>
    </row>
    <row r="17" spans="2:8" x14ac:dyDescent="0.3">
      <c r="B17" s="212" t="s">
        <v>616</v>
      </c>
      <c r="C17" s="213">
        <f>C6+C7+C9+C10+C11+C12+C13+C14+C8</f>
        <v>1468370794.2500093</v>
      </c>
      <c r="D17" s="213">
        <f>D6+D7+D9+D10+D11+D12+D13+D14+D8+D15</f>
        <v>-1941130322.7499993</v>
      </c>
    </row>
    <row r="18" spans="2:8" x14ac:dyDescent="0.3">
      <c r="B18" s="212"/>
      <c r="C18" s="210"/>
      <c r="D18" s="210"/>
      <c r="H18" s="276"/>
    </row>
    <row r="19" spans="2:8" x14ac:dyDescent="0.3">
      <c r="B19" s="206"/>
      <c r="D19" s="210"/>
    </row>
    <row r="20" spans="2:8" x14ac:dyDescent="0.3">
      <c r="B20" s="212"/>
      <c r="C20" s="214"/>
      <c r="D20" s="215"/>
    </row>
    <row r="21" spans="2:8" x14ac:dyDescent="0.3">
      <c r="B21" s="212" t="s">
        <v>589</v>
      </c>
      <c r="C21" s="210"/>
      <c r="D21" s="215"/>
    </row>
    <row r="22" spans="2:8" x14ac:dyDescent="0.3">
      <c r="B22" s="211" t="s">
        <v>590</v>
      </c>
      <c r="C22" s="210">
        <v>57698828.889999978</v>
      </c>
      <c r="D22" s="210">
        <v>-11785432.51000005</v>
      </c>
    </row>
    <row r="23" spans="2:8" x14ac:dyDescent="0.3">
      <c r="B23" s="211" t="s">
        <v>620</v>
      </c>
      <c r="C23" s="210"/>
      <c r="D23" s="215"/>
    </row>
    <row r="24" spans="2:8" x14ac:dyDescent="0.3">
      <c r="B24" s="211" t="s">
        <v>591</v>
      </c>
      <c r="C24" s="210">
        <v>-18225160710.760002</v>
      </c>
      <c r="D24" s="215">
        <v>-21298074184.950001</v>
      </c>
    </row>
    <row r="25" spans="2:8" x14ac:dyDescent="0.3">
      <c r="B25" s="211" t="s">
        <v>592</v>
      </c>
      <c r="C25" s="210">
        <v>18670157704.43</v>
      </c>
      <c r="D25" s="215">
        <v>18723033434.189999</v>
      </c>
    </row>
    <row r="26" spans="2:8" x14ac:dyDescent="0.3">
      <c r="B26" s="211" t="s">
        <v>593</v>
      </c>
      <c r="C26" s="210">
        <v>-155877623.06000018</v>
      </c>
      <c r="D26" s="210">
        <v>-26428256.080000341</v>
      </c>
    </row>
    <row r="27" spans="2:8" x14ac:dyDescent="0.3">
      <c r="B27" s="211" t="s">
        <v>594</v>
      </c>
      <c r="C27" s="210">
        <v>0</v>
      </c>
      <c r="D27" s="274">
        <v>0</v>
      </c>
    </row>
    <row r="28" spans="2:8" x14ac:dyDescent="0.3">
      <c r="B28" s="211" t="s">
        <v>595</v>
      </c>
      <c r="C28" s="215">
        <v>41268313.100000001</v>
      </c>
      <c r="D28" s="210">
        <v>-14776837.759999998</v>
      </c>
    </row>
    <row r="29" spans="2:8" x14ac:dyDescent="0.3">
      <c r="B29" s="211" t="s">
        <v>543</v>
      </c>
      <c r="C29" s="215"/>
      <c r="D29" s="210"/>
    </row>
    <row r="30" spans="2:8" x14ac:dyDescent="0.3">
      <c r="B30" s="211" t="s">
        <v>544</v>
      </c>
      <c r="C30" s="210"/>
      <c r="D30" s="215"/>
    </row>
    <row r="31" spans="2:8" x14ac:dyDescent="0.3">
      <c r="B31" s="211" t="s">
        <v>545</v>
      </c>
      <c r="C31" s="210"/>
      <c r="D31" s="215"/>
    </row>
    <row r="32" spans="2:8" hidden="1" x14ac:dyDescent="0.3">
      <c r="B32" s="211" t="s">
        <v>546</v>
      </c>
      <c r="C32" s="210">
        <v>0</v>
      </c>
      <c r="D32" s="215">
        <v>0</v>
      </c>
    </row>
    <row r="33" spans="2:4" x14ac:dyDescent="0.3">
      <c r="B33" s="210"/>
      <c r="C33" s="210"/>
      <c r="D33" s="215"/>
    </row>
    <row r="34" spans="2:4" x14ac:dyDescent="0.3">
      <c r="B34" s="212" t="s">
        <v>617</v>
      </c>
      <c r="C34" s="213">
        <f>C22+C25+C27+C28+C29+C30+C32+C24+C26</f>
        <v>388086512.59999585</v>
      </c>
      <c r="D34" s="213">
        <f>+D22+D24+D25+D26+D27+D28+D23</f>
        <v>-2628031277.1100011</v>
      </c>
    </row>
    <row r="35" spans="2:4" x14ac:dyDescent="0.3">
      <c r="B35" s="212"/>
      <c r="D35" s="210"/>
    </row>
    <row r="36" spans="2:4" x14ac:dyDescent="0.3">
      <c r="B36" s="210"/>
      <c r="C36" s="210"/>
      <c r="D36" s="206"/>
    </row>
    <row r="37" spans="2:4" x14ac:dyDescent="0.3">
      <c r="B37" s="212" t="s">
        <v>569</v>
      </c>
      <c r="C37" s="210"/>
      <c r="D37" s="210"/>
    </row>
    <row r="38" spans="2:4" x14ac:dyDescent="0.3">
      <c r="B38" s="209" t="s">
        <v>596</v>
      </c>
      <c r="C38" s="215">
        <v>27950668821.889999</v>
      </c>
      <c r="D38" s="215">
        <v>28982264584.610001</v>
      </c>
    </row>
    <row r="39" spans="2:4" x14ac:dyDescent="0.3">
      <c r="B39" s="209" t="s">
        <v>597</v>
      </c>
      <c r="C39" s="215">
        <v>-28367161040.190006</v>
      </c>
      <c r="D39" s="215">
        <v>-28699823274.869999</v>
      </c>
    </row>
    <row r="40" spans="2:4" x14ac:dyDescent="0.3">
      <c r="B40" s="209" t="s">
        <v>598</v>
      </c>
      <c r="C40" s="215">
        <v>770018766.83999991</v>
      </c>
      <c r="D40" s="215">
        <v>4500099198.6899996</v>
      </c>
    </row>
    <row r="41" spans="2:4" x14ac:dyDescent="0.3">
      <c r="B41" s="209" t="s">
        <v>599</v>
      </c>
      <c r="C41" s="215">
        <v>-2172553292.46</v>
      </c>
      <c r="D41" s="215">
        <v>-2581230254.0100002</v>
      </c>
    </row>
    <row r="42" spans="2:4" x14ac:dyDescent="0.3">
      <c r="B42" s="211" t="s">
        <v>600</v>
      </c>
      <c r="C42" s="215">
        <v>0</v>
      </c>
      <c r="D42" s="215">
        <v>2649999999.999999</v>
      </c>
    </row>
    <row r="43" spans="2:4" x14ac:dyDescent="0.3">
      <c r="B43" s="211"/>
      <c r="C43" s="215"/>
      <c r="D43" s="215"/>
    </row>
    <row r="44" spans="2:4" x14ac:dyDescent="0.3">
      <c r="B44" s="212" t="s">
        <v>618</v>
      </c>
      <c r="C44" s="210"/>
      <c r="D44" s="206"/>
    </row>
    <row r="45" spans="2:4" x14ac:dyDescent="0.3">
      <c r="B45" s="212"/>
      <c r="C45" s="213">
        <f>C38+C39+C40+C41+C42</f>
        <v>-1819026743.920007</v>
      </c>
      <c r="D45" s="217">
        <f>SUM(D38:D43)</f>
        <v>4851310254.4200001</v>
      </c>
    </row>
    <row r="46" spans="2:4" x14ac:dyDescent="0.3">
      <c r="B46" s="210"/>
      <c r="C46" s="210"/>
      <c r="D46" s="210"/>
    </row>
    <row r="47" spans="2:4" x14ac:dyDescent="0.3">
      <c r="B47" s="212" t="s">
        <v>570</v>
      </c>
      <c r="C47" s="216">
        <f>C45+C34+C17</f>
        <v>37430562.929998159</v>
      </c>
      <c r="D47" s="216">
        <f>+D17+D34+D45</f>
        <v>282148654.55999947</v>
      </c>
    </row>
    <row r="48" spans="2:4" x14ac:dyDescent="0.3">
      <c r="B48" s="217"/>
      <c r="C48" s="210"/>
      <c r="D48" s="210"/>
    </row>
    <row r="49" spans="1:8" x14ac:dyDescent="0.3">
      <c r="B49" s="212" t="s">
        <v>571</v>
      </c>
      <c r="C49" s="218">
        <v>2474337131.77</v>
      </c>
      <c r="D49" s="218">
        <v>2306503816.9300003</v>
      </c>
    </row>
    <row r="50" spans="1:8" x14ac:dyDescent="0.3">
      <c r="B50" s="217"/>
      <c r="C50" s="210"/>
      <c r="D50" s="210"/>
    </row>
    <row r="51" spans="1:8" x14ac:dyDescent="0.3">
      <c r="B51" s="212" t="s">
        <v>572</v>
      </c>
      <c r="C51" s="218">
        <v>2511767694.6999998</v>
      </c>
      <c r="D51" s="218">
        <v>2588652471.4899998</v>
      </c>
      <c r="H51" s="272"/>
    </row>
    <row r="52" spans="1:8" x14ac:dyDescent="0.3">
      <c r="B52" s="212"/>
      <c r="C52" s="218"/>
      <c r="D52" s="218"/>
    </row>
    <row r="53" spans="1:8" x14ac:dyDescent="0.3">
      <c r="B53" s="212"/>
      <c r="C53" s="218"/>
      <c r="D53" s="218"/>
    </row>
    <row r="54" spans="1:8" x14ac:dyDescent="0.3">
      <c r="B54" s="212"/>
      <c r="C54" s="218"/>
      <c r="D54" s="218"/>
    </row>
    <row r="55" spans="1:8" x14ac:dyDescent="0.3">
      <c r="B55" s="212"/>
      <c r="C55" s="218"/>
      <c r="D55" s="218"/>
    </row>
    <row r="56" spans="1:8" x14ac:dyDescent="0.3">
      <c r="B56" s="212"/>
      <c r="C56" s="218"/>
      <c r="D56" s="218"/>
    </row>
    <row r="57" spans="1:8" x14ac:dyDescent="0.3">
      <c r="B57" s="212"/>
      <c r="C57" s="218"/>
      <c r="D57" s="218"/>
    </row>
    <row r="58" spans="1:8" x14ac:dyDescent="0.3">
      <c r="B58" s="219" t="s">
        <v>534</v>
      </c>
      <c r="C58" s="220" t="s">
        <v>547</v>
      </c>
      <c r="D58" s="220"/>
    </row>
    <row r="59" spans="1:8" x14ac:dyDescent="0.3">
      <c r="B59" s="221" t="s">
        <v>548</v>
      </c>
      <c r="C59" s="222" t="s">
        <v>549</v>
      </c>
      <c r="D59" s="222"/>
    </row>
    <row r="60" spans="1:8" x14ac:dyDescent="0.3">
      <c r="B60" s="217"/>
      <c r="C60" s="223">
        <v>4</v>
      </c>
      <c r="D60" s="223"/>
    </row>
    <row r="61" spans="1:8" x14ac:dyDescent="0.3">
      <c r="A61" s="206"/>
      <c r="B61" s="224" t="s">
        <v>0</v>
      </c>
      <c r="C61" s="210"/>
      <c r="D61" s="210"/>
    </row>
    <row r="62" spans="1:8" x14ac:dyDescent="0.3">
      <c r="A62" s="206"/>
      <c r="B62" s="224" t="s">
        <v>535</v>
      </c>
      <c r="C62" s="210"/>
      <c r="D62" s="210"/>
    </row>
    <row r="63" spans="1:8" x14ac:dyDescent="0.3">
      <c r="A63" s="206"/>
      <c r="B63" s="225" t="str">
        <f>+A3</f>
        <v>AL 30 DE SEPTIEMBRE 2024 Y 2023</v>
      </c>
      <c r="C63" s="210"/>
      <c r="D63" s="210"/>
    </row>
    <row r="64" spans="1:8" x14ac:dyDescent="0.3">
      <c r="A64" s="206"/>
      <c r="B64" s="225" t="s">
        <v>2</v>
      </c>
      <c r="C64" s="210"/>
      <c r="D64" s="210"/>
    </row>
    <row r="65" spans="2:4" x14ac:dyDescent="0.3">
      <c r="B65" s="226"/>
      <c r="C65" s="226" t="str">
        <f>+C5</f>
        <v xml:space="preserve">                         2024</v>
      </c>
      <c r="D65" s="269" t="s">
        <v>578</v>
      </c>
    </row>
    <row r="66" spans="2:4" x14ac:dyDescent="0.3">
      <c r="B66" s="210"/>
      <c r="C66" s="210"/>
      <c r="D66" s="210"/>
    </row>
    <row r="67" spans="2:4" ht="34.5" x14ac:dyDescent="0.3">
      <c r="B67" s="270" t="s">
        <v>601</v>
      </c>
      <c r="C67" s="210"/>
      <c r="D67" s="210"/>
    </row>
    <row r="68" spans="2:4" x14ac:dyDescent="0.3">
      <c r="B68" s="211" t="s">
        <v>533</v>
      </c>
      <c r="C68" s="210"/>
      <c r="D68" s="210"/>
    </row>
    <row r="69" spans="2:4" x14ac:dyDescent="0.3">
      <c r="B69" s="211" t="s">
        <v>602</v>
      </c>
      <c r="C69" s="206">
        <v>426124219.3599999</v>
      </c>
      <c r="D69" s="215">
        <v>704110951.32000089</v>
      </c>
    </row>
    <row r="70" spans="2:4" x14ac:dyDescent="0.3">
      <c r="B70" s="211"/>
      <c r="C70" s="210"/>
      <c r="D70" s="210"/>
    </row>
    <row r="71" spans="2:4" ht="34.5" x14ac:dyDescent="0.3">
      <c r="B71" s="270" t="s">
        <v>603</v>
      </c>
      <c r="C71" s="206"/>
      <c r="D71" s="210"/>
    </row>
    <row r="72" spans="2:4" x14ac:dyDescent="0.3">
      <c r="B72" s="211" t="s">
        <v>533</v>
      </c>
      <c r="C72" s="210"/>
      <c r="D72" s="210"/>
    </row>
    <row r="73" spans="2:4" x14ac:dyDescent="0.3">
      <c r="B73" s="211"/>
      <c r="C73" s="278"/>
      <c r="D73" s="210"/>
    </row>
    <row r="74" spans="2:4" x14ac:dyDescent="0.3">
      <c r="B74" s="211"/>
      <c r="C74" s="210"/>
      <c r="D74" s="210"/>
    </row>
    <row r="75" spans="2:4" x14ac:dyDescent="0.3">
      <c r="B75" s="211" t="s">
        <v>550</v>
      </c>
      <c r="C75" s="210"/>
      <c r="D75" s="210"/>
    </row>
    <row r="76" spans="2:4" x14ac:dyDescent="0.3">
      <c r="B76" s="227" t="s">
        <v>604</v>
      </c>
      <c r="C76" s="210"/>
      <c r="D76" s="210"/>
    </row>
    <row r="77" spans="2:4" x14ac:dyDescent="0.3">
      <c r="B77" s="211" t="s">
        <v>605</v>
      </c>
      <c r="C77" s="274">
        <v>0</v>
      </c>
      <c r="D77" s="210">
        <v>8080343.21</v>
      </c>
    </row>
    <row r="78" spans="2:4" x14ac:dyDescent="0.3">
      <c r="B78" s="211" t="s">
        <v>606</v>
      </c>
      <c r="C78" s="210"/>
      <c r="D78" s="210"/>
    </row>
    <row r="79" spans="2:4" x14ac:dyDescent="0.3">
      <c r="B79" s="211" t="s">
        <v>607</v>
      </c>
      <c r="C79" s="210"/>
      <c r="D79" s="210"/>
    </row>
    <row r="80" spans="2:4" x14ac:dyDescent="0.3">
      <c r="B80" s="211" t="s">
        <v>608</v>
      </c>
      <c r="C80" s="277">
        <v>41781658.310000002</v>
      </c>
      <c r="D80" s="210">
        <v>8523279.4499999993</v>
      </c>
    </row>
    <row r="81" spans="2:4" x14ac:dyDescent="0.3">
      <c r="B81" s="211" t="s">
        <v>609</v>
      </c>
      <c r="C81" s="277">
        <v>418665970.24000001</v>
      </c>
      <c r="D81" s="228">
        <v>133698106.37</v>
      </c>
    </row>
    <row r="82" spans="2:4" x14ac:dyDescent="0.3">
      <c r="B82" s="211"/>
      <c r="C82" s="228"/>
      <c r="D82" s="228"/>
    </row>
    <row r="83" spans="2:4" x14ac:dyDescent="0.3">
      <c r="B83" s="227" t="s">
        <v>551</v>
      </c>
      <c r="C83" s="215"/>
      <c r="D83" s="215"/>
    </row>
    <row r="84" spans="2:4" hidden="1" x14ac:dyDescent="0.3">
      <c r="B84" s="211" t="s">
        <v>605</v>
      </c>
      <c r="C84" s="215">
        <v>0</v>
      </c>
      <c r="D84" s="215">
        <v>0</v>
      </c>
    </row>
    <row r="85" spans="2:4" x14ac:dyDescent="0.3">
      <c r="B85" s="211" t="s">
        <v>610</v>
      </c>
      <c r="C85" s="215"/>
      <c r="D85" s="215"/>
    </row>
    <row r="86" spans="2:4" x14ac:dyDescent="0.3">
      <c r="B86" s="211" t="s">
        <v>607</v>
      </c>
      <c r="C86" s="215"/>
      <c r="D86" s="215"/>
    </row>
    <row r="87" spans="2:4" x14ac:dyDescent="0.3">
      <c r="B87" s="211" t="s">
        <v>608</v>
      </c>
      <c r="C87" s="215">
        <v>-38970517.07</v>
      </c>
      <c r="D87" s="215">
        <v>-7827310.1699999999</v>
      </c>
    </row>
    <row r="88" spans="2:4" x14ac:dyDescent="0.3">
      <c r="B88" s="211" t="s">
        <v>609</v>
      </c>
      <c r="C88" s="274">
        <v>-113462.78</v>
      </c>
      <c r="D88" s="215">
        <v>-3242.37</v>
      </c>
    </row>
    <row r="89" spans="2:4" x14ac:dyDescent="0.3">
      <c r="B89" s="211"/>
      <c r="C89" s="228"/>
      <c r="D89" s="228"/>
    </row>
    <row r="90" spans="2:4" x14ac:dyDescent="0.3">
      <c r="B90" s="211" t="s">
        <v>552</v>
      </c>
      <c r="C90" s="206">
        <v>143552538.28999999</v>
      </c>
      <c r="D90" s="210">
        <v>58645412.359999999</v>
      </c>
    </row>
    <row r="91" spans="2:4" x14ac:dyDescent="0.3">
      <c r="B91" s="211"/>
      <c r="C91" s="210"/>
      <c r="D91" s="210"/>
    </row>
    <row r="92" spans="2:4" x14ac:dyDescent="0.3">
      <c r="B92" s="227" t="s">
        <v>553</v>
      </c>
      <c r="C92" s="210"/>
      <c r="D92" s="210"/>
    </row>
    <row r="93" spans="2:4" x14ac:dyDescent="0.3">
      <c r="B93" s="211" t="s">
        <v>611</v>
      </c>
      <c r="C93" s="277">
        <v>-6179668.6199991703</v>
      </c>
      <c r="D93" s="210">
        <v>-795263.01999807358</v>
      </c>
    </row>
    <row r="94" spans="2:4" x14ac:dyDescent="0.3">
      <c r="B94" s="211" t="s">
        <v>609</v>
      </c>
      <c r="C94" s="277">
        <v>-279020346.30999994</v>
      </c>
      <c r="D94" s="210">
        <v>-422671685.46000004</v>
      </c>
    </row>
    <row r="95" spans="2:4" x14ac:dyDescent="0.3">
      <c r="B95" s="211" t="s">
        <v>612</v>
      </c>
      <c r="C95" s="277">
        <v>13383922.99000001</v>
      </c>
      <c r="D95" s="210">
        <v>139778670.41000003</v>
      </c>
    </row>
    <row r="96" spans="2:4" x14ac:dyDescent="0.3">
      <c r="B96" s="211" t="s">
        <v>613</v>
      </c>
      <c r="C96" s="277">
        <v>153616522.27000001</v>
      </c>
      <c r="D96" s="210">
        <v>-92137668.349999994</v>
      </c>
    </row>
    <row r="97" spans="2:4" x14ac:dyDescent="0.3">
      <c r="B97" s="211" t="s">
        <v>614</v>
      </c>
      <c r="C97" s="279">
        <v>595529957.57000875</v>
      </c>
      <c r="D97" s="210">
        <v>-2470531916.5000014</v>
      </c>
    </row>
    <row r="98" spans="2:4" x14ac:dyDescent="0.3">
      <c r="B98" s="211" t="s">
        <v>615</v>
      </c>
      <c r="C98" s="210">
        <f>SUM(C77:C97)</f>
        <v>1042246574.8900096</v>
      </c>
      <c r="D98" s="210">
        <f>SUM(D77:D97)</f>
        <v>-2645241274.0699997</v>
      </c>
    </row>
    <row r="99" spans="2:4" x14ac:dyDescent="0.3">
      <c r="B99" s="210"/>
      <c r="C99" s="210"/>
      <c r="D99" s="210"/>
    </row>
    <row r="100" spans="2:4" x14ac:dyDescent="0.3">
      <c r="B100" s="212" t="s">
        <v>554</v>
      </c>
      <c r="C100" s="271">
        <f>+C98+C69</f>
        <v>1468370794.2500095</v>
      </c>
      <c r="D100" s="216">
        <f>+D98+D69</f>
        <v>-1941130322.7499988</v>
      </c>
    </row>
    <row r="101" spans="2:4" x14ac:dyDescent="0.3">
      <c r="B101" s="229"/>
      <c r="C101" s="210"/>
      <c r="D101" s="210"/>
    </row>
    <row r="102" spans="2:4" x14ac:dyDescent="0.3">
      <c r="B102" s="229"/>
      <c r="C102" s="210"/>
      <c r="D102" s="210"/>
    </row>
    <row r="103" spans="2:4" x14ac:dyDescent="0.3">
      <c r="B103" s="229"/>
      <c r="C103" s="210"/>
      <c r="D103" s="210"/>
    </row>
    <row r="104" spans="2:4" x14ac:dyDescent="0.3">
      <c r="B104" s="229"/>
      <c r="C104" s="210"/>
      <c r="D104" s="210"/>
    </row>
    <row r="105" spans="2:4" x14ac:dyDescent="0.3">
      <c r="B105" s="229"/>
      <c r="C105" s="210"/>
      <c r="D105" s="210"/>
    </row>
    <row r="106" spans="2:4" x14ac:dyDescent="0.3">
      <c r="B106" s="229"/>
      <c r="C106" s="210"/>
      <c r="D106" s="210"/>
    </row>
    <row r="107" spans="2:4" x14ac:dyDescent="0.3">
      <c r="B107" s="212"/>
      <c r="C107" s="215"/>
      <c r="D107" s="215"/>
    </row>
    <row r="108" spans="2:4" x14ac:dyDescent="0.3">
      <c r="B108" s="219" t="s">
        <v>534</v>
      </c>
      <c r="C108" s="220" t="s">
        <v>547</v>
      </c>
      <c r="D108" s="220"/>
    </row>
    <row r="109" spans="2:4" x14ac:dyDescent="0.3">
      <c r="B109" s="221" t="s">
        <v>548</v>
      </c>
      <c r="C109" s="222" t="s">
        <v>549</v>
      </c>
      <c r="D109" s="222"/>
    </row>
    <row r="110" spans="2:4" x14ac:dyDescent="0.3">
      <c r="B110" s="217"/>
      <c r="C110" s="210"/>
      <c r="D110" s="210"/>
    </row>
    <row r="111" spans="2:4" x14ac:dyDescent="0.3">
      <c r="B111" s="219"/>
      <c r="C111" s="230"/>
      <c r="D111" s="230"/>
    </row>
    <row r="112" spans="2:4" x14ac:dyDescent="0.3">
      <c r="B112" s="219"/>
      <c r="C112" s="231"/>
      <c r="D112" s="231"/>
    </row>
    <row r="113" spans="2:4" x14ac:dyDescent="0.3">
      <c r="C113" s="223">
        <v>5</v>
      </c>
      <c r="D113" s="223"/>
    </row>
    <row r="114" spans="2:4" x14ac:dyDescent="0.3">
      <c r="B114" s="210"/>
      <c r="C114" s="210"/>
      <c r="D114" s="210"/>
    </row>
    <row r="115" spans="2:4" x14ac:dyDescent="0.3">
      <c r="C115" s="210"/>
      <c r="D115" s="210"/>
    </row>
    <row r="116" spans="2:4" x14ac:dyDescent="0.3">
      <c r="C116" s="210"/>
      <c r="D116" s="210"/>
    </row>
    <row r="117" spans="2:4" x14ac:dyDescent="0.3">
      <c r="C117" s="210"/>
      <c r="D117" s="210"/>
    </row>
    <row r="118" spans="2:4" x14ac:dyDescent="0.3">
      <c r="C118" s="210"/>
      <c r="D118" s="210"/>
    </row>
    <row r="119" spans="2:4" x14ac:dyDescent="0.3">
      <c r="C119" s="210"/>
      <c r="D119" s="210"/>
    </row>
    <row r="120" spans="2:4" x14ac:dyDescent="0.3">
      <c r="C120" s="210"/>
      <c r="D120" s="210"/>
    </row>
    <row r="121" spans="2:4" x14ac:dyDescent="0.3">
      <c r="C121" s="210"/>
      <c r="D121" s="210"/>
    </row>
    <row r="122" spans="2:4" x14ac:dyDescent="0.3">
      <c r="C122" s="210"/>
      <c r="D122" s="210"/>
    </row>
    <row r="123" spans="2:4" x14ac:dyDescent="0.3">
      <c r="C123" s="210"/>
      <c r="D123" s="210"/>
    </row>
    <row r="124" spans="2:4" x14ac:dyDescent="0.3">
      <c r="C124" s="210"/>
      <c r="D124" s="210"/>
    </row>
    <row r="125" spans="2:4" x14ac:dyDescent="0.3">
      <c r="C125" s="210"/>
      <c r="D125" s="210"/>
    </row>
    <row r="126" spans="2:4" x14ac:dyDescent="0.3">
      <c r="C126" s="210"/>
      <c r="D126" s="210"/>
    </row>
    <row r="127" spans="2:4" x14ac:dyDescent="0.3">
      <c r="C127" s="210"/>
      <c r="D127" s="210"/>
    </row>
    <row r="128" spans="2:4" x14ac:dyDescent="0.3">
      <c r="C128" s="210"/>
      <c r="D128" s="210"/>
    </row>
    <row r="129" spans="2:4" x14ac:dyDescent="0.3">
      <c r="C129" s="210"/>
      <c r="D129" s="210"/>
    </row>
    <row r="130" spans="2:4" x14ac:dyDescent="0.3">
      <c r="B130" s="233"/>
      <c r="C130" s="210"/>
      <c r="D130" s="210"/>
    </row>
    <row r="131" spans="2:4" x14ac:dyDescent="0.3">
      <c r="C131" s="210"/>
      <c r="D131" s="210"/>
    </row>
    <row r="132" spans="2:4" x14ac:dyDescent="0.3">
      <c r="C132" s="210"/>
      <c r="D132" s="210"/>
    </row>
    <row r="133" spans="2:4" x14ac:dyDescent="0.3">
      <c r="C133" s="210"/>
      <c r="D133" s="210"/>
    </row>
    <row r="134" spans="2:4" x14ac:dyDescent="0.3">
      <c r="C134" s="210"/>
      <c r="D134" s="210"/>
    </row>
    <row r="135" spans="2:4" x14ac:dyDescent="0.3">
      <c r="C135" s="210"/>
      <c r="D135" s="210"/>
    </row>
    <row r="136" spans="2:4" x14ac:dyDescent="0.3">
      <c r="C136" s="210"/>
      <c r="D136" s="210"/>
    </row>
    <row r="137" spans="2:4" x14ac:dyDescent="0.3">
      <c r="C137" s="210"/>
      <c r="D137" s="210"/>
    </row>
    <row r="138" spans="2:4" x14ac:dyDescent="0.3">
      <c r="C138" s="210"/>
      <c r="D138" s="210"/>
    </row>
    <row r="139" spans="2:4" x14ac:dyDescent="0.3">
      <c r="C139" s="210"/>
      <c r="D139" s="210"/>
    </row>
    <row r="140" spans="2:4" x14ac:dyDescent="0.3">
      <c r="C140" s="210"/>
      <c r="D140" s="210"/>
    </row>
    <row r="141" spans="2:4" x14ac:dyDescent="0.3">
      <c r="C141" s="210"/>
      <c r="D141" s="210"/>
    </row>
    <row r="142" spans="2:4" x14ac:dyDescent="0.3">
      <c r="C142" s="210"/>
      <c r="D142" s="210"/>
    </row>
    <row r="143" spans="2:4" x14ac:dyDescent="0.3">
      <c r="C143" s="210"/>
      <c r="D143" s="210"/>
    </row>
    <row r="144" spans="2:4" x14ac:dyDescent="0.3">
      <c r="C144" s="210"/>
      <c r="D144" s="210"/>
    </row>
    <row r="145" spans="2:4" x14ac:dyDescent="0.3">
      <c r="C145" s="210"/>
      <c r="D145" s="210"/>
    </row>
    <row r="146" spans="2:4" x14ac:dyDescent="0.3">
      <c r="C146" s="210"/>
      <c r="D146" s="210"/>
    </row>
    <row r="147" spans="2:4" x14ac:dyDescent="0.3">
      <c r="C147" s="210"/>
      <c r="D147" s="210"/>
    </row>
    <row r="148" spans="2:4" x14ac:dyDescent="0.3">
      <c r="C148" s="210"/>
      <c r="D148" s="210"/>
    </row>
    <row r="149" spans="2:4" x14ac:dyDescent="0.3">
      <c r="C149" s="210"/>
      <c r="D149" s="210"/>
    </row>
    <row r="150" spans="2:4" x14ac:dyDescent="0.3">
      <c r="B150" s="234" t="s">
        <v>18</v>
      </c>
      <c r="C150" s="210"/>
      <c r="D150" s="210"/>
    </row>
    <row r="151" spans="2:4" x14ac:dyDescent="0.3">
      <c r="C151" s="210"/>
      <c r="D151" s="210"/>
    </row>
    <row r="152" spans="2:4" x14ac:dyDescent="0.3">
      <c r="C152" s="210"/>
      <c r="D152" s="210"/>
    </row>
    <row r="153" spans="2:4" x14ac:dyDescent="0.3">
      <c r="C153" s="210"/>
      <c r="D153" s="210"/>
    </row>
    <row r="154" spans="2:4" x14ac:dyDescent="0.3">
      <c r="C154" s="210"/>
      <c r="D154" s="210"/>
    </row>
    <row r="155" spans="2:4" x14ac:dyDescent="0.3">
      <c r="C155" s="210"/>
      <c r="D155" s="210"/>
    </row>
    <row r="156" spans="2:4" x14ac:dyDescent="0.3">
      <c r="C156" s="210"/>
      <c r="D156" s="210"/>
    </row>
    <row r="157" spans="2:4" x14ac:dyDescent="0.3">
      <c r="C157" s="210"/>
      <c r="D157" s="210"/>
    </row>
    <row r="158" spans="2:4" x14ac:dyDescent="0.3">
      <c r="C158" s="210"/>
      <c r="D158" s="210"/>
    </row>
    <row r="159" spans="2:4" x14ac:dyDescent="0.3">
      <c r="C159" s="210"/>
      <c r="D159" s="210"/>
    </row>
    <row r="160" spans="2:4" x14ac:dyDescent="0.3">
      <c r="C160" s="210"/>
      <c r="D160" s="210"/>
    </row>
    <row r="161" spans="2:4" x14ac:dyDescent="0.3">
      <c r="C161" s="210"/>
      <c r="D161" s="210"/>
    </row>
    <row r="167" spans="2:4" x14ac:dyDescent="0.3">
      <c r="B167" s="234" t="s">
        <v>18</v>
      </c>
    </row>
  </sheetData>
  <mergeCells count="4">
    <mergeCell ref="A1:C1"/>
    <mergeCell ref="A2:C2"/>
    <mergeCell ref="A3:C3"/>
    <mergeCell ref="A4:C4"/>
  </mergeCells>
  <pageMargins left="1.0629921259842521" right="0.19685039370078741" top="0.59055118110236227" bottom="1.0629921259842521" header="0.43307086614173229" footer="0"/>
  <pageSetup scale="67" orientation="portrait" horizontalDpi="300" verticalDpi="300" r:id="rId1"/>
  <headerFooter alignWithMargins="0"/>
  <rowBreaks count="1" manualBreakCount="1">
    <brk id="60" max="5" man="1"/>
  </rowBreaks>
  <ignoredErrors>
    <ignoredError sqref="C5:D5 D6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160"/>
    <col min="2" max="2" width="80.85546875" style="182" bestFit="1" customWidth="1"/>
    <col min="3" max="3" width="21.140625" style="182" bestFit="1" customWidth="1"/>
    <col min="4" max="4" width="15.5703125" style="182" bestFit="1" customWidth="1"/>
    <col min="5" max="5" width="21.140625" style="182" bestFit="1" customWidth="1"/>
    <col min="6" max="6" width="16.42578125" style="182" bestFit="1" customWidth="1"/>
    <col min="7" max="7" width="32.5703125" style="161" bestFit="1" customWidth="1"/>
    <col min="8" max="8" width="21" style="199" bestFit="1" customWidth="1"/>
    <col min="9" max="9" width="21.140625" style="198" bestFit="1" customWidth="1"/>
    <col min="10" max="11" width="21" style="198" bestFit="1" customWidth="1"/>
    <col min="12" max="12" width="20.42578125" style="161" bestFit="1" customWidth="1"/>
    <col min="13" max="16384" width="19.5703125" style="161"/>
  </cols>
  <sheetData>
    <row r="1" spans="2:12" x14ac:dyDescent="0.3">
      <c r="B1" s="284" t="s">
        <v>0</v>
      </c>
      <c r="C1" s="284"/>
      <c r="D1" s="284"/>
      <c r="E1" s="284"/>
      <c r="F1" s="284"/>
    </row>
    <row r="2" spans="2:12" x14ac:dyDescent="0.3">
      <c r="B2" s="284" t="s">
        <v>57</v>
      </c>
      <c r="C2" s="284"/>
      <c r="D2" s="284"/>
      <c r="E2" s="284"/>
      <c r="F2" s="284"/>
    </row>
    <row r="3" spans="2:12" x14ac:dyDescent="0.3">
      <c r="B3" s="284" t="str">
        <f>FECHA!B8</f>
        <v>Al 31 DE ENERO 2023</v>
      </c>
      <c r="C3" s="284"/>
      <c r="D3" s="284"/>
      <c r="E3" s="284"/>
      <c r="F3" s="284"/>
    </row>
    <row r="4" spans="2:12" x14ac:dyDescent="0.3">
      <c r="B4" s="284" t="s">
        <v>58</v>
      </c>
      <c r="C4" s="284"/>
      <c r="D4" s="284"/>
      <c r="E4" s="284"/>
      <c r="F4" s="284"/>
    </row>
    <row r="5" spans="2:12" x14ac:dyDescent="0.3">
      <c r="B5" s="285" t="s">
        <v>59</v>
      </c>
      <c r="C5" s="286" t="s">
        <v>60</v>
      </c>
      <c r="D5" s="286"/>
      <c r="E5" s="286" t="s">
        <v>61</v>
      </c>
      <c r="F5" s="286"/>
    </row>
    <row r="6" spans="2:12" x14ac:dyDescent="0.3">
      <c r="B6" s="285"/>
      <c r="C6" s="162" t="s">
        <v>62</v>
      </c>
      <c r="D6" s="162" t="s">
        <v>63</v>
      </c>
      <c r="E6" s="162" t="s">
        <v>62</v>
      </c>
      <c r="F6" s="162" t="s">
        <v>63</v>
      </c>
      <c r="H6" s="199" t="s">
        <v>528</v>
      </c>
      <c r="I6" s="198" t="s">
        <v>529</v>
      </c>
      <c r="K6" s="198" t="s">
        <v>530</v>
      </c>
    </row>
    <row r="7" spans="2:12" x14ac:dyDescent="0.3">
      <c r="B7" s="163" t="s">
        <v>269</v>
      </c>
      <c r="C7" s="164">
        <v>200519467.59999999</v>
      </c>
      <c r="D7" s="164"/>
      <c r="E7" s="164">
        <v>401038935</v>
      </c>
      <c r="F7" s="164"/>
      <c r="G7" s="165">
        <v>41</v>
      </c>
      <c r="H7" s="199">
        <f>H8+H14+H16</f>
        <v>200519469</v>
      </c>
      <c r="I7" s="198">
        <f>I8+I14+I16+0.25</f>
        <v>200519468.60000002</v>
      </c>
      <c r="J7" s="198">
        <v>401038936</v>
      </c>
      <c r="K7" s="198">
        <f t="shared" ref="K7:K51" si="0">C7+I7</f>
        <v>401038936.20000005</v>
      </c>
      <c r="L7" s="198">
        <f>J7-K7</f>
        <v>-0.20000004768371582</v>
      </c>
    </row>
    <row r="8" spans="2:12" x14ac:dyDescent="0.3">
      <c r="B8" s="166" t="s">
        <v>270</v>
      </c>
      <c r="C8" s="167">
        <v>189433625</v>
      </c>
      <c r="D8" s="167"/>
      <c r="E8" s="167">
        <v>378867251</v>
      </c>
      <c r="F8" s="167"/>
      <c r="G8" s="165">
        <v>411</v>
      </c>
      <c r="H8" s="199">
        <f>H9+H10+H11+H12+H13</f>
        <v>189433627</v>
      </c>
      <c r="I8" s="198">
        <f>I9+I10+I11+I12+I13-0.25</f>
        <v>189433626.00000003</v>
      </c>
      <c r="J8" s="198">
        <v>378867252</v>
      </c>
      <c r="K8" s="198">
        <f t="shared" si="0"/>
        <v>378867251</v>
      </c>
      <c r="L8" s="198">
        <f t="shared" ref="L8:L51" si="1">J8-K8</f>
        <v>1</v>
      </c>
    </row>
    <row r="9" spans="2:12" x14ac:dyDescent="0.3">
      <c r="B9" s="166" t="s">
        <v>271</v>
      </c>
      <c r="C9" s="168">
        <v>137313712.46000001</v>
      </c>
      <c r="D9" s="168"/>
      <c r="E9" s="168">
        <v>274627426</v>
      </c>
      <c r="F9" s="168"/>
      <c r="G9" s="165">
        <v>411.01</v>
      </c>
      <c r="H9" s="199">
        <v>137313714</v>
      </c>
      <c r="I9" s="198">
        <f>137313712.5+0.46</f>
        <v>137313712.96000001</v>
      </c>
      <c r="J9" s="198">
        <v>274627426.5</v>
      </c>
      <c r="K9" s="198">
        <f t="shared" si="0"/>
        <v>274627425.42000002</v>
      </c>
      <c r="L9" s="198">
        <f t="shared" si="1"/>
        <v>1.0799999833106995</v>
      </c>
    </row>
    <row r="10" spans="2:12" x14ac:dyDescent="0.3">
      <c r="B10" s="166" t="s">
        <v>443</v>
      </c>
      <c r="C10" s="169">
        <v>4991130.33</v>
      </c>
      <c r="D10" s="168"/>
      <c r="E10" s="169">
        <v>9982261</v>
      </c>
      <c r="F10" s="168"/>
      <c r="G10" s="170">
        <v>411.02</v>
      </c>
      <c r="H10" s="199">
        <v>4991131</v>
      </c>
      <c r="I10" s="198">
        <f>4991130.5+0.33</f>
        <v>4991130.83</v>
      </c>
      <c r="J10" s="198">
        <v>9982261.5</v>
      </c>
      <c r="K10" s="198">
        <f t="shared" si="0"/>
        <v>9982261.1600000001</v>
      </c>
      <c r="L10" s="198">
        <f t="shared" si="1"/>
        <v>0.33999999985098839</v>
      </c>
    </row>
    <row r="11" spans="2:12" x14ac:dyDescent="0.3">
      <c r="B11" s="166" t="s">
        <v>272</v>
      </c>
      <c r="C11" s="168">
        <v>860142.44</v>
      </c>
      <c r="D11" s="168"/>
      <c r="E11" s="168">
        <v>1720284</v>
      </c>
      <c r="F11" s="168"/>
      <c r="G11" s="170">
        <v>411.03</v>
      </c>
      <c r="H11" s="199">
        <v>860142</v>
      </c>
      <c r="I11" s="198">
        <f>860142+0.44</f>
        <v>860142.44</v>
      </c>
      <c r="J11" s="198">
        <v>1720284</v>
      </c>
      <c r="K11" s="198">
        <f t="shared" si="0"/>
        <v>1720284.88</v>
      </c>
      <c r="L11" s="198">
        <f t="shared" si="1"/>
        <v>-0.87999999988824129</v>
      </c>
    </row>
    <row r="12" spans="2:12" x14ac:dyDescent="0.3">
      <c r="B12" s="166" t="s">
        <v>409</v>
      </c>
      <c r="C12" s="168">
        <v>46248885.280000001</v>
      </c>
      <c r="D12" s="168"/>
      <c r="E12" s="168">
        <v>92497770</v>
      </c>
      <c r="F12" s="168"/>
      <c r="G12" s="170">
        <v>411.04</v>
      </c>
      <c r="H12" s="199">
        <v>46248885</v>
      </c>
      <c r="I12" s="198">
        <f>46248885+0.28</f>
        <v>46248885.280000001</v>
      </c>
      <c r="J12" s="198">
        <v>92497770</v>
      </c>
      <c r="K12" s="198">
        <f t="shared" si="0"/>
        <v>92497770.560000002</v>
      </c>
      <c r="L12" s="198">
        <f t="shared" si="1"/>
        <v>-0.56000000238418579</v>
      </c>
    </row>
    <row r="13" spans="2:12" x14ac:dyDescent="0.3">
      <c r="B13" s="166" t="s">
        <v>273</v>
      </c>
      <c r="C13" s="168">
        <v>19754.739999999998</v>
      </c>
      <c r="D13" s="168"/>
      <c r="E13" s="168">
        <v>39510</v>
      </c>
      <c r="F13" s="168"/>
      <c r="G13" s="165">
        <v>411.05</v>
      </c>
      <c r="H13" s="199">
        <v>19755</v>
      </c>
      <c r="I13" s="198">
        <f>19755+0.26-0.52</f>
        <v>19754.739999999998</v>
      </c>
      <c r="J13" s="198">
        <v>39510</v>
      </c>
      <c r="K13" s="198">
        <f t="shared" si="0"/>
        <v>39509.479999999996</v>
      </c>
      <c r="L13" s="198">
        <f t="shared" si="1"/>
        <v>0.52000000000407454</v>
      </c>
    </row>
    <row r="14" spans="2:12" x14ac:dyDescent="0.3">
      <c r="B14" s="166" t="s">
        <v>274</v>
      </c>
      <c r="C14" s="167">
        <v>11085842.35</v>
      </c>
      <c r="D14" s="167"/>
      <c r="E14" s="167">
        <v>22171684</v>
      </c>
      <c r="F14" s="167"/>
      <c r="G14" s="165">
        <v>412</v>
      </c>
      <c r="H14" s="199">
        <v>11085842</v>
      </c>
      <c r="I14" s="198">
        <f>11085842+0.35</f>
        <v>11085842.35</v>
      </c>
      <c r="J14" s="198">
        <v>22171684</v>
      </c>
      <c r="K14" s="198">
        <f t="shared" si="0"/>
        <v>22171684.699999999</v>
      </c>
      <c r="L14" s="198">
        <f t="shared" si="1"/>
        <v>-0.69999999925494194</v>
      </c>
    </row>
    <row r="15" spans="2:12" x14ac:dyDescent="0.3">
      <c r="B15" s="166" t="s">
        <v>275</v>
      </c>
      <c r="C15" s="168">
        <v>11085842.35</v>
      </c>
      <c r="D15" s="168"/>
      <c r="E15" s="168">
        <v>22171684</v>
      </c>
      <c r="F15" s="168"/>
      <c r="G15" s="165">
        <v>412</v>
      </c>
      <c r="H15" s="199">
        <v>11085842</v>
      </c>
      <c r="I15" s="198">
        <f>11085842+0.35</f>
        <v>11085842.35</v>
      </c>
      <c r="J15" s="198">
        <v>22171684</v>
      </c>
      <c r="K15" s="198">
        <f t="shared" si="0"/>
        <v>22171684.699999999</v>
      </c>
      <c r="L15" s="198">
        <f t="shared" si="1"/>
        <v>-0.69999999925494194</v>
      </c>
    </row>
    <row r="16" spans="2:12" x14ac:dyDescent="0.3">
      <c r="B16" s="166" t="s">
        <v>444</v>
      </c>
      <c r="C16" s="167">
        <v>11763503.769999996</v>
      </c>
      <c r="D16" s="167"/>
      <c r="E16" s="167">
        <v>0</v>
      </c>
      <c r="F16" s="167"/>
      <c r="G16" s="171" t="s">
        <v>474</v>
      </c>
      <c r="H16" s="199">
        <v>0</v>
      </c>
      <c r="I16" s="198">
        <v>0</v>
      </c>
      <c r="J16" s="198">
        <v>0</v>
      </c>
      <c r="K16" s="198">
        <f t="shared" si="0"/>
        <v>11763503.769999996</v>
      </c>
      <c r="L16" s="198">
        <f t="shared" si="1"/>
        <v>-11763503.769999996</v>
      </c>
    </row>
    <row r="17" spans="2:12" x14ac:dyDescent="0.3">
      <c r="B17" s="166" t="s">
        <v>445</v>
      </c>
      <c r="C17" s="168">
        <v>-11486395.320000008</v>
      </c>
      <c r="D17" s="168"/>
      <c r="E17" s="168">
        <v>0</v>
      </c>
      <c r="F17" s="168"/>
      <c r="G17" s="171" t="s">
        <v>475</v>
      </c>
      <c r="H17" s="199">
        <v>0</v>
      </c>
      <c r="I17" s="198">
        <v>0</v>
      </c>
      <c r="J17" s="198">
        <v>0</v>
      </c>
      <c r="K17" s="198">
        <f t="shared" si="0"/>
        <v>-11486395.320000008</v>
      </c>
      <c r="L17" s="198">
        <f t="shared" si="1"/>
        <v>11486395.320000008</v>
      </c>
    </row>
    <row r="18" spans="2:12" x14ac:dyDescent="0.3">
      <c r="B18" s="163" t="s">
        <v>276</v>
      </c>
      <c r="C18" s="164">
        <v>11879175.960000001</v>
      </c>
      <c r="D18" s="164"/>
      <c r="E18" s="164">
        <v>67744516</v>
      </c>
      <c r="F18" s="164"/>
      <c r="G18" s="165">
        <v>42</v>
      </c>
      <c r="H18" s="199">
        <f>H19+H34</f>
        <v>33874259</v>
      </c>
      <c r="I18" s="198">
        <f>I19+I34+19166843.36</f>
        <v>11763503.77</v>
      </c>
      <c r="J18" s="198">
        <v>67744516</v>
      </c>
      <c r="K18" s="198">
        <f t="shared" si="0"/>
        <v>23642679.73</v>
      </c>
      <c r="L18" s="198">
        <f t="shared" si="1"/>
        <v>44101836.269999996</v>
      </c>
    </row>
    <row r="19" spans="2:12" x14ac:dyDescent="0.3">
      <c r="B19" s="166" t="s">
        <v>277</v>
      </c>
      <c r="C19" s="167">
        <v>35217.199999999997</v>
      </c>
      <c r="D19" s="167"/>
      <c r="E19" s="167">
        <v>59574404</v>
      </c>
      <c r="F19" s="167"/>
      <c r="G19" s="165">
        <v>423</v>
      </c>
      <c r="H19" s="199">
        <f>28553733+1233470</f>
        <v>29787203</v>
      </c>
      <c r="I19" s="198">
        <f>I20+I28-20399529.89</f>
        <v>-11486395.32</v>
      </c>
      <c r="J19" s="198">
        <v>59574404</v>
      </c>
      <c r="K19" s="198">
        <f t="shared" si="0"/>
        <v>-11451178.120000001</v>
      </c>
      <c r="L19" s="198">
        <f t="shared" si="1"/>
        <v>71025582.120000005</v>
      </c>
    </row>
    <row r="20" spans="2:12" x14ac:dyDescent="0.3">
      <c r="B20" s="166" t="s">
        <v>278</v>
      </c>
      <c r="C20" s="168">
        <v>92964.2</v>
      </c>
      <c r="D20" s="168"/>
      <c r="E20" s="168">
        <v>57107466</v>
      </c>
      <c r="F20" s="168"/>
      <c r="G20" s="165">
        <v>423.06</v>
      </c>
      <c r="H20" s="199">
        <v>28553733</v>
      </c>
      <c r="I20" s="198">
        <f>28553733-16674557.04</f>
        <v>11879175.960000001</v>
      </c>
      <c r="J20" s="198">
        <v>57107466</v>
      </c>
      <c r="K20" s="198">
        <f t="shared" si="0"/>
        <v>11972140.16</v>
      </c>
      <c r="L20" s="198">
        <f t="shared" si="1"/>
        <v>45135325.840000004</v>
      </c>
    </row>
    <row r="21" spans="2:12" x14ac:dyDescent="0.3">
      <c r="B21" s="166" t="s">
        <v>279</v>
      </c>
      <c r="C21" s="168">
        <v>2939909.5</v>
      </c>
      <c r="D21" s="168"/>
      <c r="E21" s="168">
        <v>70434</v>
      </c>
      <c r="F21" s="168"/>
      <c r="G21" s="165" t="s">
        <v>463</v>
      </c>
      <c r="H21" s="199">
        <v>35217</v>
      </c>
      <c r="I21" s="198">
        <f>35217+0.2</f>
        <v>35217.199999999997</v>
      </c>
      <c r="J21" s="198">
        <v>70434</v>
      </c>
      <c r="K21" s="198">
        <f t="shared" si="0"/>
        <v>2975126.7</v>
      </c>
      <c r="L21" s="198">
        <f t="shared" si="1"/>
        <v>-2904692.7</v>
      </c>
    </row>
    <row r="22" spans="2:12" x14ac:dyDescent="0.3">
      <c r="B22" s="166" t="s">
        <v>280</v>
      </c>
      <c r="C22" s="168">
        <v>786604.28</v>
      </c>
      <c r="D22" s="168"/>
      <c r="E22" s="168">
        <v>185928</v>
      </c>
      <c r="F22" s="168"/>
      <c r="G22" s="165" t="s">
        <v>469</v>
      </c>
      <c r="H22" s="199">
        <v>92964</v>
      </c>
      <c r="I22" s="198">
        <f>92964+0.2</f>
        <v>92964.2</v>
      </c>
      <c r="J22" s="198">
        <v>185928</v>
      </c>
      <c r="K22" s="198">
        <f t="shared" si="0"/>
        <v>879568.48</v>
      </c>
      <c r="L22" s="198">
        <f t="shared" si="1"/>
        <v>-693640.48</v>
      </c>
    </row>
    <row r="23" spans="2:12" x14ac:dyDescent="0.3">
      <c r="B23" s="166" t="s">
        <v>281</v>
      </c>
      <c r="C23" s="168">
        <v>100000</v>
      </c>
      <c r="D23" s="168"/>
      <c r="E23" s="168">
        <v>5879819</v>
      </c>
      <c r="F23" s="168"/>
      <c r="G23" s="165" t="s">
        <v>464</v>
      </c>
      <c r="H23" s="199">
        <v>2939910</v>
      </c>
      <c r="I23" s="198">
        <f>2939909+0.5</f>
        <v>2939909.5</v>
      </c>
      <c r="J23" s="198">
        <v>5879819</v>
      </c>
      <c r="K23" s="198">
        <f t="shared" si="0"/>
        <v>3039909.5</v>
      </c>
      <c r="L23" s="198">
        <f t="shared" si="1"/>
        <v>2839909.5</v>
      </c>
    </row>
    <row r="24" spans="2:12" x14ac:dyDescent="0.3">
      <c r="B24" s="166" t="s">
        <v>282</v>
      </c>
      <c r="C24" s="168">
        <v>4219165.54</v>
      </c>
      <c r="D24" s="168"/>
      <c r="E24" s="168">
        <v>1573208</v>
      </c>
      <c r="F24" s="168"/>
      <c r="G24" s="165" t="s">
        <v>465</v>
      </c>
      <c r="H24" s="199">
        <v>786604</v>
      </c>
      <c r="I24" s="198">
        <f>786604+0.28</f>
        <v>786604.28</v>
      </c>
      <c r="J24" s="198">
        <v>1573208</v>
      </c>
      <c r="K24" s="198">
        <f t="shared" si="0"/>
        <v>5005769.82</v>
      </c>
      <c r="L24" s="198">
        <f t="shared" si="1"/>
        <v>-3432561.8200000003</v>
      </c>
    </row>
    <row r="25" spans="2:12" x14ac:dyDescent="0.3">
      <c r="B25" s="166" t="s">
        <v>283</v>
      </c>
      <c r="C25" s="168">
        <v>19166842.640000001</v>
      </c>
      <c r="D25" s="168"/>
      <c r="E25" s="168">
        <v>200000</v>
      </c>
      <c r="F25" s="168"/>
      <c r="G25" s="165" t="s">
        <v>468</v>
      </c>
      <c r="H25" s="199">
        <v>100000</v>
      </c>
      <c r="I25" s="198">
        <f>100000</f>
        <v>100000</v>
      </c>
      <c r="J25" s="198">
        <v>200000</v>
      </c>
      <c r="K25" s="198">
        <f t="shared" si="0"/>
        <v>19266842.640000001</v>
      </c>
      <c r="L25" s="198">
        <f t="shared" si="1"/>
        <v>-19066842.640000001</v>
      </c>
    </row>
    <row r="26" spans="2:12" x14ac:dyDescent="0.3">
      <c r="B26" s="166" t="s">
        <v>286</v>
      </c>
      <c r="C26" s="168">
        <v>-2966041.3899999997</v>
      </c>
      <c r="D26" s="168"/>
      <c r="E26" s="168">
        <v>8438331</v>
      </c>
      <c r="F26" s="168"/>
      <c r="G26" s="165" t="s">
        <v>446</v>
      </c>
      <c r="H26" s="199">
        <v>4219165</v>
      </c>
      <c r="I26" s="198">
        <f>4219166-0.46</f>
        <v>4219165.54</v>
      </c>
      <c r="J26" s="198">
        <v>8438331</v>
      </c>
      <c r="K26" s="198">
        <f t="shared" si="0"/>
        <v>1253124.1500000004</v>
      </c>
      <c r="L26" s="198">
        <f t="shared" si="1"/>
        <v>7185206.8499999996</v>
      </c>
    </row>
    <row r="27" spans="2:12" x14ac:dyDescent="0.3">
      <c r="B27" s="166" t="s">
        <v>284</v>
      </c>
      <c r="C27" s="168">
        <v>1067121.25</v>
      </c>
      <c r="D27" s="168"/>
      <c r="E27" s="168">
        <v>38333686</v>
      </c>
      <c r="F27" s="168"/>
      <c r="G27" s="165" t="s">
        <v>466</v>
      </c>
      <c r="H27" s="199">
        <v>19166843</v>
      </c>
      <c r="I27" s="198">
        <f>19166843-0.36</f>
        <v>19166842.640000001</v>
      </c>
      <c r="J27" s="198">
        <v>38333686</v>
      </c>
      <c r="K27" s="198">
        <f t="shared" si="0"/>
        <v>20233963.890000001</v>
      </c>
      <c r="L27" s="198">
        <f t="shared" si="1"/>
        <v>18099722.109999999</v>
      </c>
    </row>
    <row r="28" spans="2:12" x14ac:dyDescent="0.3">
      <c r="B28" s="166" t="s">
        <v>473</v>
      </c>
      <c r="C28" s="167">
        <v>25970.78</v>
      </c>
      <c r="D28" s="167"/>
      <c r="E28" s="167">
        <v>2466938</v>
      </c>
      <c r="F28" s="167"/>
      <c r="G28" s="165">
        <v>423.99</v>
      </c>
      <c r="H28" s="199">
        <v>1233470</v>
      </c>
      <c r="I28" s="198">
        <f>I29+I30+I31+I32+I33-2986478.93</f>
        <v>-2966041.39</v>
      </c>
      <c r="J28" s="198">
        <v>2466938</v>
      </c>
      <c r="K28" s="198">
        <f t="shared" si="0"/>
        <v>-2940070.6100000003</v>
      </c>
      <c r="L28" s="198">
        <f t="shared" si="1"/>
        <v>5407008.6100000003</v>
      </c>
    </row>
    <row r="29" spans="2:12" x14ac:dyDescent="0.3">
      <c r="B29" s="166" t="s">
        <v>288</v>
      </c>
      <c r="C29" s="168">
        <v>139593.44</v>
      </c>
      <c r="D29" s="168"/>
      <c r="E29" s="168">
        <v>2134242</v>
      </c>
      <c r="F29" s="168"/>
      <c r="G29" s="165" t="s">
        <v>470</v>
      </c>
      <c r="H29" s="199">
        <v>1067121</v>
      </c>
      <c r="I29" s="198">
        <f>1067121+0.25</f>
        <v>1067121.25</v>
      </c>
      <c r="J29" s="198">
        <v>2134242</v>
      </c>
      <c r="K29" s="198">
        <f t="shared" si="0"/>
        <v>1206714.69</v>
      </c>
      <c r="L29" s="198">
        <f t="shared" si="1"/>
        <v>927527.31</v>
      </c>
    </row>
    <row r="30" spans="2:12" x14ac:dyDescent="0.3">
      <c r="B30" s="166" t="s">
        <v>289</v>
      </c>
      <c r="C30" s="168">
        <v>782.72</v>
      </c>
      <c r="D30" s="168"/>
      <c r="E30" s="168">
        <v>51943</v>
      </c>
      <c r="F30" s="168"/>
      <c r="G30" s="165" t="s">
        <v>471</v>
      </c>
      <c r="H30" s="199">
        <v>25972</v>
      </c>
      <c r="I30" s="198">
        <f>25971-0.22</f>
        <v>25970.78</v>
      </c>
      <c r="J30" s="198">
        <v>51943</v>
      </c>
      <c r="K30" s="198">
        <f t="shared" si="0"/>
        <v>26753.5</v>
      </c>
      <c r="L30" s="198">
        <f t="shared" si="1"/>
        <v>25189.5</v>
      </c>
    </row>
    <row r="31" spans="2:12" x14ac:dyDescent="0.3">
      <c r="B31" s="166" t="s">
        <v>290</v>
      </c>
      <c r="C31" s="168">
        <v>-1213030.6500000001</v>
      </c>
      <c r="D31" s="168"/>
      <c r="E31" s="168">
        <v>279187</v>
      </c>
      <c r="F31" s="168"/>
      <c r="G31" s="165" t="s">
        <v>472</v>
      </c>
      <c r="H31" s="199">
        <v>139594</v>
      </c>
      <c r="I31" s="198">
        <f>139593+0.44</f>
        <v>139593.44</v>
      </c>
      <c r="J31" s="198">
        <v>279187</v>
      </c>
      <c r="K31" s="198">
        <f t="shared" si="0"/>
        <v>-1073437.2100000002</v>
      </c>
      <c r="L31" s="198">
        <f t="shared" si="1"/>
        <v>1352624.2100000002</v>
      </c>
    </row>
    <row r="32" spans="2:12" x14ac:dyDescent="0.3">
      <c r="B32" s="166" t="s">
        <v>285</v>
      </c>
      <c r="C32" s="168">
        <v>4083055.73</v>
      </c>
      <c r="D32" s="168"/>
      <c r="E32" s="168">
        <v>1566</v>
      </c>
      <c r="F32" s="168"/>
      <c r="G32" s="165" t="s">
        <v>447</v>
      </c>
      <c r="H32" s="199">
        <v>783</v>
      </c>
      <c r="I32" s="198">
        <f>783-0.28</f>
        <v>782.72</v>
      </c>
      <c r="J32" s="198">
        <v>1566</v>
      </c>
      <c r="K32" s="198">
        <f t="shared" si="0"/>
        <v>4083838.45</v>
      </c>
      <c r="L32" s="198">
        <f t="shared" si="1"/>
        <v>-4082272.45</v>
      </c>
    </row>
    <row r="33" spans="2:12" x14ac:dyDescent="0.3">
      <c r="B33" s="166" t="s">
        <v>287</v>
      </c>
      <c r="C33" s="168">
        <v>4083055.73</v>
      </c>
      <c r="D33" s="168"/>
      <c r="E33" s="168">
        <v>0</v>
      </c>
      <c r="F33" s="168"/>
      <c r="G33" s="165" t="s">
        <v>467</v>
      </c>
      <c r="H33" s="199">
        <v>0</v>
      </c>
      <c r="I33" s="198">
        <v>-1213030.6499999999</v>
      </c>
      <c r="J33" s="198">
        <v>0</v>
      </c>
      <c r="K33" s="198">
        <f t="shared" si="0"/>
        <v>2870025.08</v>
      </c>
      <c r="L33" s="198">
        <f t="shared" si="1"/>
        <v>-2870025.08</v>
      </c>
    </row>
    <row r="34" spans="2:12" x14ac:dyDescent="0.3">
      <c r="B34" s="166" t="s">
        <v>291</v>
      </c>
      <c r="C34" s="167">
        <v>20884697.399999999</v>
      </c>
      <c r="D34" s="167"/>
      <c r="E34" s="167">
        <v>8170112</v>
      </c>
      <c r="F34" s="167"/>
      <c r="G34" s="165">
        <v>429</v>
      </c>
      <c r="H34" s="199">
        <v>4087056</v>
      </c>
      <c r="I34" s="198">
        <f>4083056-0.27</f>
        <v>4083055.73</v>
      </c>
      <c r="J34" s="198">
        <v>8170112</v>
      </c>
      <c r="K34" s="198">
        <f t="shared" si="0"/>
        <v>24967753.129999999</v>
      </c>
      <c r="L34" s="198">
        <f t="shared" si="1"/>
        <v>-16797641.129999999</v>
      </c>
    </row>
    <row r="35" spans="2:12" x14ac:dyDescent="0.3">
      <c r="B35" s="166" t="s">
        <v>292</v>
      </c>
      <c r="C35" s="168">
        <v>1936820.94</v>
      </c>
      <c r="D35" s="168"/>
      <c r="E35" s="168">
        <v>8170112</v>
      </c>
      <c r="F35" s="168"/>
      <c r="G35" s="165">
        <v>429.99</v>
      </c>
      <c r="H35" s="199">
        <v>4087056</v>
      </c>
      <c r="I35" s="198">
        <f>4083056-0.27</f>
        <v>4083055.73</v>
      </c>
      <c r="J35" s="198">
        <v>8170112</v>
      </c>
      <c r="K35" s="198">
        <f t="shared" si="0"/>
        <v>6019876.6699999999</v>
      </c>
      <c r="L35" s="198">
        <f t="shared" si="1"/>
        <v>2150235.33</v>
      </c>
    </row>
    <row r="36" spans="2:12" x14ac:dyDescent="0.3">
      <c r="B36" s="163" t="s">
        <v>293</v>
      </c>
      <c r="C36" s="164">
        <v>1936820.94</v>
      </c>
      <c r="D36" s="164"/>
      <c r="E36" s="164">
        <v>42690236</v>
      </c>
      <c r="F36" s="164"/>
      <c r="G36" s="165">
        <v>43</v>
      </c>
      <c r="H36" s="199">
        <f>H37+H39+H44</f>
        <v>21555927</v>
      </c>
      <c r="I36" s="198">
        <f>I37+I39+I44</f>
        <v>20884697.399999999</v>
      </c>
      <c r="J36" s="198">
        <v>42690236</v>
      </c>
      <c r="K36" s="198">
        <f t="shared" si="0"/>
        <v>22821518.34</v>
      </c>
      <c r="L36" s="198">
        <f t="shared" si="1"/>
        <v>19868717.66</v>
      </c>
    </row>
    <row r="37" spans="2:12" x14ac:dyDescent="0.3">
      <c r="B37" s="166" t="s">
        <v>294</v>
      </c>
      <c r="C37" s="167">
        <v>2802110.8</v>
      </c>
      <c r="D37" s="167"/>
      <c r="E37" s="167">
        <v>3879288</v>
      </c>
      <c r="F37" s="167"/>
      <c r="G37" s="165">
        <v>431</v>
      </c>
      <c r="H37" s="198">
        <v>1942467</v>
      </c>
      <c r="I37" s="198">
        <f>I38</f>
        <v>1936820.94</v>
      </c>
      <c r="J37" s="198">
        <v>3879288</v>
      </c>
      <c r="K37" s="198">
        <f t="shared" si="0"/>
        <v>4738931.74</v>
      </c>
      <c r="L37" s="198">
        <f t="shared" si="1"/>
        <v>-859643.74000000022</v>
      </c>
    </row>
    <row r="38" spans="2:12" x14ac:dyDescent="0.3">
      <c r="B38" s="166" t="s">
        <v>295</v>
      </c>
      <c r="C38" s="168">
        <v>402651.2</v>
      </c>
      <c r="D38" s="168"/>
      <c r="E38" s="168">
        <v>3879288</v>
      </c>
      <c r="F38" s="168"/>
      <c r="G38" s="165">
        <v>431.01</v>
      </c>
      <c r="H38" s="199">
        <v>1942467</v>
      </c>
      <c r="I38" s="198">
        <f>1936821-0.06</f>
        <v>1936820.94</v>
      </c>
      <c r="J38" s="198">
        <v>3879288</v>
      </c>
      <c r="K38" s="198">
        <f t="shared" si="0"/>
        <v>2339472.14</v>
      </c>
      <c r="L38" s="198">
        <f t="shared" si="1"/>
        <v>1539815.8599999999</v>
      </c>
    </row>
    <row r="39" spans="2:12" x14ac:dyDescent="0.3">
      <c r="B39" s="166" t="s">
        <v>296</v>
      </c>
      <c r="C39" s="167">
        <v>2399459.6</v>
      </c>
      <c r="D39" s="167"/>
      <c r="E39" s="167">
        <v>6020639</v>
      </c>
      <c r="F39" s="167"/>
      <c r="G39" s="165">
        <v>434</v>
      </c>
      <c r="H39" s="199">
        <v>3218528</v>
      </c>
      <c r="I39" s="198">
        <f>I40+I41</f>
        <v>2802110.8000000003</v>
      </c>
      <c r="J39" s="198">
        <v>6020639</v>
      </c>
      <c r="K39" s="198">
        <f t="shared" si="0"/>
        <v>5201570.4000000004</v>
      </c>
      <c r="L39" s="198">
        <f t="shared" si="1"/>
        <v>819068.59999999963</v>
      </c>
    </row>
    <row r="40" spans="2:12" x14ac:dyDescent="0.3">
      <c r="B40" s="166" t="s">
        <v>297</v>
      </c>
      <c r="C40" s="168">
        <v>1962559.6</v>
      </c>
      <c r="D40" s="168"/>
      <c r="E40" s="168">
        <v>827366</v>
      </c>
      <c r="F40" s="168"/>
      <c r="G40" s="165" t="s">
        <v>457</v>
      </c>
      <c r="H40" s="199">
        <v>424715</v>
      </c>
      <c r="I40" s="198">
        <f>402651+0.2</f>
        <v>402651.2</v>
      </c>
      <c r="J40" s="198">
        <v>827366</v>
      </c>
      <c r="K40" s="198">
        <f t="shared" si="0"/>
        <v>2365210.8000000003</v>
      </c>
      <c r="L40" s="198">
        <f t="shared" si="1"/>
        <v>-1537844.8000000003</v>
      </c>
    </row>
    <row r="41" spans="2:12" x14ac:dyDescent="0.3">
      <c r="B41" s="166" t="s">
        <v>451</v>
      </c>
      <c r="C41" s="169">
        <v>436900</v>
      </c>
      <c r="D41" s="168"/>
      <c r="E41" s="169">
        <v>5193273</v>
      </c>
      <c r="F41" s="168"/>
      <c r="G41" s="165">
        <v>434.02</v>
      </c>
      <c r="H41" s="199">
        <v>2793813</v>
      </c>
      <c r="I41" s="198">
        <f>2399460-0.4</f>
        <v>2399459.6</v>
      </c>
      <c r="J41" s="198">
        <v>5193273</v>
      </c>
      <c r="K41" s="198">
        <f t="shared" si="0"/>
        <v>2836359.6</v>
      </c>
      <c r="L41" s="198">
        <f t="shared" si="1"/>
        <v>2356913.4</v>
      </c>
    </row>
    <row r="42" spans="2:12" x14ac:dyDescent="0.3">
      <c r="B42" s="166" t="s">
        <v>298</v>
      </c>
      <c r="C42" s="169">
        <v>16145765.66</v>
      </c>
      <c r="D42" s="168"/>
      <c r="E42" s="169">
        <v>4319473</v>
      </c>
      <c r="F42" s="168"/>
      <c r="G42" s="165" t="s">
        <v>458</v>
      </c>
      <c r="H42" s="199">
        <v>2356913</v>
      </c>
      <c r="I42" s="198">
        <f>1962560-0.4</f>
        <v>1962559.6</v>
      </c>
      <c r="J42" s="198">
        <v>4319473</v>
      </c>
      <c r="K42" s="198">
        <f t="shared" si="0"/>
        <v>18108325.260000002</v>
      </c>
      <c r="L42" s="198">
        <f t="shared" si="1"/>
        <v>-13788852.260000002</v>
      </c>
    </row>
    <row r="43" spans="2:12" x14ac:dyDescent="0.3">
      <c r="B43" s="166" t="s">
        <v>452</v>
      </c>
      <c r="C43" s="169">
        <v>679052.34</v>
      </c>
      <c r="D43" s="168"/>
      <c r="E43" s="169">
        <v>873800</v>
      </c>
      <c r="F43" s="168"/>
      <c r="G43" s="165" t="s">
        <v>459</v>
      </c>
      <c r="H43" s="199">
        <v>436900</v>
      </c>
      <c r="I43" s="198">
        <v>436900</v>
      </c>
      <c r="J43" s="198">
        <v>873800</v>
      </c>
      <c r="K43" s="198">
        <f t="shared" si="0"/>
        <v>1115952.3399999999</v>
      </c>
      <c r="L43" s="198">
        <f t="shared" si="1"/>
        <v>-242152.33999999985</v>
      </c>
    </row>
    <row r="44" spans="2:12" x14ac:dyDescent="0.3">
      <c r="B44" s="166" t="s">
        <v>299</v>
      </c>
      <c r="C44" s="167">
        <v>15375663.310000001</v>
      </c>
      <c r="D44" s="167"/>
      <c r="E44" s="167">
        <v>32790309</v>
      </c>
      <c r="F44" s="167"/>
      <c r="G44" s="165">
        <v>439</v>
      </c>
      <c r="H44" s="199">
        <v>16394932</v>
      </c>
      <c r="I44" s="198">
        <f>I45+I46+I47-355803.66</f>
        <v>16145765.66</v>
      </c>
      <c r="J44" s="198">
        <v>32790309</v>
      </c>
      <c r="K44" s="198">
        <f t="shared" si="0"/>
        <v>31521428.969999999</v>
      </c>
      <c r="L44" s="198">
        <f t="shared" si="1"/>
        <v>1268880.0300000012</v>
      </c>
    </row>
    <row r="45" spans="2:12" x14ac:dyDescent="0.3">
      <c r="B45" s="166" t="s">
        <v>453</v>
      </c>
      <c r="C45" s="168">
        <v>446853.67</v>
      </c>
      <c r="D45" s="168"/>
      <c r="E45" s="168">
        <v>1358104</v>
      </c>
      <c r="F45" s="168"/>
      <c r="G45" s="165">
        <v>439.01</v>
      </c>
      <c r="H45" s="199">
        <v>679052</v>
      </c>
      <c r="I45" s="198">
        <f>679052+0.34</f>
        <v>679052.34</v>
      </c>
      <c r="J45" s="198">
        <v>1358104</v>
      </c>
      <c r="K45" s="198">
        <f t="shared" si="0"/>
        <v>1125906.01</v>
      </c>
      <c r="L45" s="198">
        <f t="shared" si="1"/>
        <v>232197.99</v>
      </c>
    </row>
    <row r="46" spans="2:12" x14ac:dyDescent="0.3">
      <c r="B46" s="166" t="s">
        <v>454</v>
      </c>
      <c r="C46" s="168">
        <v>362303</v>
      </c>
      <c r="D46" s="168"/>
      <c r="E46" s="168">
        <v>30751326</v>
      </c>
      <c r="F46" s="168"/>
      <c r="G46" s="165">
        <v>439.03</v>
      </c>
      <c r="H46" s="200">
        <v>15375663</v>
      </c>
      <c r="I46" s="198">
        <f>15375663+0.31</f>
        <v>15375663.310000001</v>
      </c>
      <c r="J46" s="198">
        <v>30751326</v>
      </c>
      <c r="K46" s="198">
        <f t="shared" si="0"/>
        <v>15737966.310000001</v>
      </c>
      <c r="L46" s="198">
        <f t="shared" si="1"/>
        <v>15013359.689999999</v>
      </c>
    </row>
    <row r="47" spans="2:12" x14ac:dyDescent="0.3">
      <c r="B47" s="166" t="s">
        <v>455</v>
      </c>
      <c r="C47" s="168">
        <v>250000</v>
      </c>
      <c r="D47" s="168"/>
      <c r="E47" s="168">
        <v>680879</v>
      </c>
      <c r="F47" s="168"/>
      <c r="G47" s="165">
        <v>439.99</v>
      </c>
      <c r="H47" s="199">
        <v>340217</v>
      </c>
      <c r="I47" s="198">
        <f>340662+106191.67</f>
        <v>446853.67</v>
      </c>
      <c r="J47" s="198">
        <v>680879</v>
      </c>
      <c r="K47" s="198">
        <f t="shared" si="0"/>
        <v>696853.66999999993</v>
      </c>
      <c r="L47" s="198">
        <f t="shared" si="1"/>
        <v>-15974.669999999925</v>
      </c>
    </row>
    <row r="48" spans="2:12" x14ac:dyDescent="0.3">
      <c r="B48" s="166" t="s">
        <v>456</v>
      </c>
      <c r="C48" s="168">
        <v>250000</v>
      </c>
      <c r="D48" s="168"/>
      <c r="E48" s="168">
        <v>468495</v>
      </c>
      <c r="F48" s="168"/>
      <c r="G48" s="165" t="s">
        <v>460</v>
      </c>
      <c r="H48" s="199">
        <v>234025</v>
      </c>
      <c r="I48" s="198">
        <f>234470+127833</f>
        <v>362303</v>
      </c>
      <c r="J48" s="198">
        <v>468495</v>
      </c>
      <c r="K48" s="198">
        <f t="shared" si="0"/>
        <v>612303</v>
      </c>
      <c r="L48" s="198">
        <f t="shared" si="1"/>
        <v>-143808</v>
      </c>
    </row>
    <row r="49" spans="2:12" x14ac:dyDescent="0.3">
      <c r="B49" s="163" t="s">
        <v>461</v>
      </c>
      <c r="C49" s="164">
        <v>233417668.76999998</v>
      </c>
      <c r="D49" s="164"/>
      <c r="E49" s="164">
        <v>500000</v>
      </c>
      <c r="F49" s="164"/>
      <c r="G49" s="165">
        <v>44</v>
      </c>
      <c r="H49" s="199">
        <v>250000</v>
      </c>
      <c r="I49" s="198">
        <v>250000</v>
      </c>
      <c r="J49" s="198">
        <v>500000</v>
      </c>
      <c r="K49" s="198">
        <f t="shared" si="0"/>
        <v>233667668.76999998</v>
      </c>
      <c r="L49" s="198">
        <f t="shared" si="1"/>
        <v>-233167668.76999998</v>
      </c>
    </row>
    <row r="50" spans="2:12" x14ac:dyDescent="0.3">
      <c r="B50" s="166" t="s">
        <v>462</v>
      </c>
      <c r="C50" s="168">
        <v>250000</v>
      </c>
      <c r="D50" s="168"/>
      <c r="E50" s="168">
        <v>500000</v>
      </c>
      <c r="F50" s="168"/>
      <c r="G50" s="165">
        <v>441</v>
      </c>
      <c r="H50" s="199">
        <v>250000</v>
      </c>
      <c r="I50" s="198">
        <v>250000</v>
      </c>
      <c r="J50" s="198">
        <v>500000</v>
      </c>
      <c r="K50" s="198">
        <f t="shared" si="0"/>
        <v>500000</v>
      </c>
      <c r="L50" s="198">
        <f t="shared" si="1"/>
        <v>0</v>
      </c>
    </row>
    <row r="51" spans="2:12" x14ac:dyDescent="0.3">
      <c r="B51" s="163" t="s">
        <v>442</v>
      </c>
      <c r="C51" s="164">
        <v>278556018.23000002</v>
      </c>
      <c r="D51" s="172"/>
      <c r="E51" s="164">
        <v>511973687</v>
      </c>
      <c r="F51" s="172"/>
      <c r="G51" s="165">
        <v>4</v>
      </c>
      <c r="H51" s="199">
        <f>H7+H18+H36+H49</f>
        <v>256199655</v>
      </c>
      <c r="I51" s="198">
        <f>I7+I18+I36+I49</f>
        <v>233417669.77000004</v>
      </c>
      <c r="J51" s="198">
        <v>511973688</v>
      </c>
      <c r="K51" s="198">
        <f t="shared" si="0"/>
        <v>511973688.00000006</v>
      </c>
      <c r="L51" s="198">
        <f t="shared" si="1"/>
        <v>0</v>
      </c>
    </row>
    <row r="52" spans="2:12" x14ac:dyDescent="0.3">
      <c r="B52" s="163"/>
      <c r="C52" s="164"/>
      <c r="D52" s="172"/>
      <c r="E52" s="164"/>
      <c r="F52" s="172"/>
      <c r="G52" s="165"/>
    </row>
    <row r="53" spans="2:12" x14ac:dyDescent="0.3">
      <c r="B53" s="163"/>
      <c r="C53" s="164"/>
      <c r="D53" s="172"/>
      <c r="E53" s="164"/>
      <c r="F53" s="172"/>
      <c r="G53" s="165"/>
    </row>
    <row r="54" spans="2:12" x14ac:dyDescent="0.3">
      <c r="B54" s="163"/>
      <c r="C54" s="164"/>
      <c r="D54" s="172"/>
      <c r="E54" s="164"/>
      <c r="F54" s="174">
        <v>16</v>
      </c>
      <c r="G54" s="165"/>
    </row>
    <row r="55" spans="2:12" x14ac:dyDescent="0.3">
      <c r="B55" s="163"/>
      <c r="C55" s="164"/>
      <c r="D55" s="172"/>
      <c r="E55" s="164"/>
      <c r="F55" s="172"/>
      <c r="G55" s="165"/>
    </row>
    <row r="56" spans="2:12" x14ac:dyDescent="0.3">
      <c r="B56" s="163"/>
      <c r="C56" s="164"/>
      <c r="D56" s="172"/>
      <c r="E56" s="164"/>
      <c r="F56" s="172"/>
      <c r="G56" s="165"/>
    </row>
    <row r="57" spans="2:12" x14ac:dyDescent="0.3">
      <c r="B57" s="284" t="s">
        <v>0</v>
      </c>
      <c r="C57" s="284"/>
      <c r="D57" s="284"/>
      <c r="E57" s="284"/>
      <c r="F57" s="284"/>
    </row>
    <row r="58" spans="2:12" x14ac:dyDescent="0.3">
      <c r="B58" s="284" t="s">
        <v>57</v>
      </c>
      <c r="C58" s="284"/>
      <c r="D58" s="284"/>
      <c r="E58" s="284"/>
      <c r="F58" s="284"/>
    </row>
    <row r="59" spans="2:12" x14ac:dyDescent="0.3">
      <c r="B59" s="284" t="str">
        <f>B3</f>
        <v>Al 31 DE ENERO 2023</v>
      </c>
      <c r="C59" s="284"/>
      <c r="D59" s="284"/>
      <c r="E59" s="284"/>
      <c r="F59" s="284"/>
    </row>
    <row r="60" spans="2:12" x14ac:dyDescent="0.3">
      <c r="B60" s="284" t="s">
        <v>58</v>
      </c>
      <c r="C60" s="284"/>
      <c r="D60" s="284"/>
      <c r="E60" s="284"/>
      <c r="F60" s="284"/>
    </row>
    <row r="61" spans="2:12" x14ac:dyDescent="0.3">
      <c r="B61" s="176"/>
      <c r="C61" s="286" t="s">
        <v>60</v>
      </c>
      <c r="D61" s="286"/>
      <c r="E61" s="286" t="s">
        <v>61</v>
      </c>
      <c r="F61" s="286"/>
    </row>
    <row r="62" spans="2:12" x14ac:dyDescent="0.3">
      <c r="B62" s="177" t="s">
        <v>11</v>
      </c>
      <c r="C62" s="162" t="s">
        <v>62</v>
      </c>
      <c r="D62" s="162" t="s">
        <v>63</v>
      </c>
      <c r="E62" s="162" t="s">
        <v>62</v>
      </c>
      <c r="F62" s="162" t="s">
        <v>63</v>
      </c>
      <c r="H62" s="202" t="s">
        <v>528</v>
      </c>
      <c r="I62" s="202" t="s">
        <v>529</v>
      </c>
    </row>
    <row r="63" spans="2:12" x14ac:dyDescent="0.3">
      <c r="B63" s="163" t="s">
        <v>12</v>
      </c>
      <c r="C63" s="164">
        <v>37968822.060000002</v>
      </c>
      <c r="D63" s="164"/>
      <c r="E63" s="164">
        <v>33050308.940000001</v>
      </c>
      <c r="F63" s="164"/>
      <c r="G63" s="165">
        <v>51</v>
      </c>
      <c r="H63" s="199">
        <v>35436873</v>
      </c>
      <c r="I63" s="198">
        <v>35582258</v>
      </c>
    </row>
    <row r="64" spans="2:12" x14ac:dyDescent="0.3">
      <c r="B64" s="166" t="s">
        <v>300</v>
      </c>
      <c r="C64" s="167">
        <v>9696376.6899999995</v>
      </c>
      <c r="D64" s="167"/>
      <c r="E64" s="167">
        <v>4777744.3100000005</v>
      </c>
      <c r="F64" s="167"/>
      <c r="G64" s="165">
        <v>511</v>
      </c>
      <c r="H64" s="199">
        <v>7164308</v>
      </c>
      <c r="I64" s="198">
        <v>7309813</v>
      </c>
    </row>
    <row r="65" spans="2:9" x14ac:dyDescent="0.3">
      <c r="B65" s="166" t="s">
        <v>301</v>
      </c>
      <c r="C65" s="168">
        <v>9696377.3300000001</v>
      </c>
      <c r="D65" s="168"/>
      <c r="E65" s="168">
        <v>4769797.67</v>
      </c>
      <c r="F65" s="168"/>
      <c r="G65" s="165">
        <v>511.02</v>
      </c>
      <c r="H65" s="202">
        <v>7160335</v>
      </c>
      <c r="I65" s="198">
        <v>7305840</v>
      </c>
    </row>
    <row r="66" spans="2:9" x14ac:dyDescent="0.3">
      <c r="B66" s="166" t="s">
        <v>302</v>
      </c>
      <c r="C66" s="168">
        <v>-0.64000000000032742</v>
      </c>
      <c r="D66" s="168"/>
      <c r="E66" s="168">
        <v>7946.64</v>
      </c>
      <c r="F66" s="168"/>
      <c r="G66" s="165">
        <v>511.03</v>
      </c>
      <c r="H66" s="202">
        <v>3973</v>
      </c>
      <c r="I66" s="198">
        <v>3973</v>
      </c>
    </row>
    <row r="67" spans="2:9" x14ac:dyDescent="0.3">
      <c r="B67" s="166" t="s">
        <v>303</v>
      </c>
      <c r="C67" s="167">
        <v>14555035.560000001</v>
      </c>
      <c r="D67" s="167"/>
      <c r="E67" s="167">
        <v>14555156.439999999</v>
      </c>
      <c r="F67" s="167"/>
      <c r="G67" s="165">
        <v>512</v>
      </c>
      <c r="H67" s="203">
        <v>14555156</v>
      </c>
      <c r="I67" s="198">
        <v>14555036</v>
      </c>
    </row>
    <row r="68" spans="2:9" x14ac:dyDescent="0.3">
      <c r="B68" s="166" t="s">
        <v>304</v>
      </c>
      <c r="C68" s="168">
        <v>14555035.560000001</v>
      </c>
      <c r="D68" s="168"/>
      <c r="E68" s="168">
        <v>14555156.439999999</v>
      </c>
      <c r="F68" s="168"/>
      <c r="G68" s="165" t="s">
        <v>478</v>
      </c>
      <c r="H68" s="199">
        <v>14555156</v>
      </c>
      <c r="I68" s="198">
        <v>14555036</v>
      </c>
    </row>
    <row r="69" spans="2:9" x14ac:dyDescent="0.3">
      <c r="B69" s="166" t="s">
        <v>305</v>
      </c>
      <c r="C69" s="167">
        <v>27034290</v>
      </c>
      <c r="D69" s="167"/>
      <c r="E69" s="167">
        <v>0</v>
      </c>
      <c r="F69" s="167"/>
      <c r="G69" s="165">
        <v>513</v>
      </c>
      <c r="H69" s="199">
        <v>13517145</v>
      </c>
      <c r="I69" s="198">
        <v>13517145</v>
      </c>
    </row>
    <row r="70" spans="2:9" x14ac:dyDescent="0.3">
      <c r="B70" s="166" t="s">
        <v>306</v>
      </c>
      <c r="C70" s="178">
        <v>4397353.49</v>
      </c>
      <c r="D70" s="168"/>
      <c r="E70" s="178">
        <v>4397352.51</v>
      </c>
      <c r="F70" s="168"/>
      <c r="G70" s="165">
        <v>513.01</v>
      </c>
      <c r="H70" s="199">
        <v>4397353</v>
      </c>
      <c r="I70" s="198">
        <v>4397353</v>
      </c>
    </row>
    <row r="71" spans="2:9" x14ac:dyDescent="0.3">
      <c r="B71" s="166" t="s">
        <v>307</v>
      </c>
      <c r="C71" s="178">
        <v>9119792.3699999992</v>
      </c>
      <c r="D71" s="168"/>
      <c r="E71" s="178">
        <v>9119791.6300000008</v>
      </c>
      <c r="F71" s="168"/>
      <c r="G71" s="165" t="s">
        <v>479</v>
      </c>
      <c r="H71" s="199">
        <v>9119792</v>
      </c>
      <c r="I71" s="198">
        <v>9119792</v>
      </c>
    </row>
    <row r="72" spans="2:9" x14ac:dyDescent="0.3">
      <c r="B72" s="166" t="s">
        <v>449</v>
      </c>
      <c r="C72" s="179">
        <v>200263.94999999998</v>
      </c>
      <c r="D72" s="167"/>
      <c r="E72" s="179">
        <v>200264.05000000002</v>
      </c>
      <c r="F72" s="167"/>
      <c r="G72" s="165">
        <v>517</v>
      </c>
      <c r="H72" s="199">
        <v>200264</v>
      </c>
      <c r="I72" s="198">
        <v>200264</v>
      </c>
    </row>
    <row r="73" spans="2:9" x14ac:dyDescent="0.3">
      <c r="B73" s="166" t="s">
        <v>480</v>
      </c>
      <c r="C73" s="178">
        <v>200263.94999999998</v>
      </c>
      <c r="D73" s="178"/>
      <c r="E73" s="178">
        <v>200264.05000000002</v>
      </c>
      <c r="F73" s="178"/>
      <c r="G73" s="165">
        <v>517.03</v>
      </c>
      <c r="H73" s="199">
        <v>200264</v>
      </c>
      <c r="I73" s="198">
        <v>200264</v>
      </c>
    </row>
    <row r="74" spans="2:9" x14ac:dyDescent="0.3">
      <c r="B74" s="163" t="s">
        <v>308</v>
      </c>
      <c r="C74" s="164">
        <v>-856743.10999999987</v>
      </c>
      <c r="D74" s="164"/>
      <c r="E74" s="164">
        <v>3924331.11</v>
      </c>
      <c r="F74" s="164"/>
      <c r="G74" s="165">
        <v>52</v>
      </c>
      <c r="H74" s="199">
        <v>1533794</v>
      </c>
      <c r="I74" s="198">
        <v>1533794</v>
      </c>
    </row>
    <row r="75" spans="2:9" x14ac:dyDescent="0.3">
      <c r="B75" s="166" t="s">
        <v>277</v>
      </c>
      <c r="C75" s="167">
        <v>1528053.83</v>
      </c>
      <c r="D75" s="167"/>
      <c r="E75" s="167">
        <v>1528054.17</v>
      </c>
      <c r="F75" s="167"/>
      <c r="G75" s="165">
        <v>523</v>
      </c>
      <c r="H75" s="199">
        <v>1528054</v>
      </c>
      <c r="I75" s="198">
        <v>1528054</v>
      </c>
    </row>
    <row r="76" spans="2:9" x14ac:dyDescent="0.3">
      <c r="B76" s="166" t="s">
        <v>309</v>
      </c>
      <c r="C76" s="168">
        <v>2000225.01</v>
      </c>
      <c r="D76" s="168"/>
      <c r="E76" s="168">
        <v>1055882.99</v>
      </c>
      <c r="F76" s="168"/>
      <c r="G76" s="165">
        <v>523.99</v>
      </c>
      <c r="H76" s="199">
        <v>1528054</v>
      </c>
      <c r="I76" s="198">
        <v>1528054</v>
      </c>
    </row>
    <row r="77" spans="2:9" x14ac:dyDescent="0.3">
      <c r="B77" s="166" t="s">
        <v>310</v>
      </c>
      <c r="C77" s="168">
        <v>472170.82</v>
      </c>
      <c r="D77" s="168"/>
      <c r="E77" s="168">
        <v>472171.18</v>
      </c>
      <c r="F77" s="168"/>
      <c r="G77" s="165" t="s">
        <v>481</v>
      </c>
      <c r="H77" s="199">
        <v>472171</v>
      </c>
      <c r="I77" s="198">
        <v>472171</v>
      </c>
    </row>
    <row r="78" spans="2:9" x14ac:dyDescent="0.3">
      <c r="B78" s="166" t="s">
        <v>311</v>
      </c>
      <c r="C78" s="167">
        <v>5740</v>
      </c>
      <c r="D78" s="167"/>
      <c r="E78" s="167">
        <v>5740</v>
      </c>
      <c r="F78" s="167"/>
      <c r="G78" s="165">
        <v>529</v>
      </c>
      <c r="H78" s="199">
        <v>5740</v>
      </c>
      <c r="I78" s="198">
        <v>5740</v>
      </c>
    </row>
    <row r="79" spans="2:9" x14ac:dyDescent="0.3">
      <c r="B79" s="166" t="s">
        <v>312</v>
      </c>
      <c r="C79" s="168">
        <v>5740</v>
      </c>
      <c r="D79" s="168"/>
      <c r="E79" s="168">
        <v>5740</v>
      </c>
      <c r="F79" s="168"/>
      <c r="G79" s="165">
        <v>529.99</v>
      </c>
      <c r="H79" s="199">
        <v>5740</v>
      </c>
      <c r="I79" s="198">
        <v>5740</v>
      </c>
    </row>
    <row r="80" spans="2:9" x14ac:dyDescent="0.3">
      <c r="B80" s="163" t="s">
        <v>313</v>
      </c>
      <c r="C80" s="164">
        <v>183571557.88999999</v>
      </c>
      <c r="D80" s="164"/>
      <c r="E80" s="164">
        <v>187915807.11000001</v>
      </c>
      <c r="F80" s="164"/>
      <c r="G80" s="165">
        <v>53</v>
      </c>
      <c r="H80" s="199">
        <v>187915806</v>
      </c>
      <c r="I80" s="198">
        <v>183571559</v>
      </c>
    </row>
    <row r="81" spans="2:9" x14ac:dyDescent="0.3">
      <c r="B81" s="166" t="s">
        <v>314</v>
      </c>
      <c r="C81" s="167">
        <v>157071737.82999998</v>
      </c>
      <c r="D81" s="167"/>
      <c r="E81" s="167">
        <v>161627828.17000002</v>
      </c>
      <c r="F81" s="167"/>
      <c r="G81" s="165">
        <v>531</v>
      </c>
      <c r="H81" s="199">
        <v>161627826</v>
      </c>
      <c r="I81" s="198">
        <v>157071740</v>
      </c>
    </row>
    <row r="82" spans="2:9" x14ac:dyDescent="0.3">
      <c r="B82" s="166" t="s">
        <v>315</v>
      </c>
      <c r="C82" s="167">
        <v>103666668</v>
      </c>
      <c r="D82" s="180"/>
      <c r="E82" s="167">
        <v>103666680</v>
      </c>
      <c r="F82" s="180"/>
      <c r="G82" s="165">
        <v>531.01</v>
      </c>
      <c r="H82" s="202">
        <v>103666680</v>
      </c>
      <c r="I82" s="202">
        <v>103666668</v>
      </c>
    </row>
    <row r="83" spans="2:9" x14ac:dyDescent="0.3">
      <c r="B83" s="166" t="s">
        <v>316</v>
      </c>
      <c r="C83" s="168">
        <v>61666669</v>
      </c>
      <c r="D83" s="169"/>
      <c r="E83" s="168">
        <v>61666669</v>
      </c>
      <c r="F83" s="169"/>
      <c r="G83" s="165" t="s">
        <v>482</v>
      </c>
      <c r="H83" s="199">
        <v>61666669</v>
      </c>
      <c r="I83" s="198">
        <v>61666669</v>
      </c>
    </row>
    <row r="84" spans="2:9" x14ac:dyDescent="0.3">
      <c r="B84" s="166" t="s">
        <v>317</v>
      </c>
      <c r="C84" s="168">
        <v>41999999</v>
      </c>
      <c r="D84" s="169"/>
      <c r="E84" s="168">
        <v>42000011</v>
      </c>
      <c r="F84" s="169"/>
      <c r="G84" s="165" t="s">
        <v>483</v>
      </c>
      <c r="H84" s="199">
        <v>42000011</v>
      </c>
      <c r="I84" s="198">
        <v>41999999</v>
      </c>
    </row>
    <row r="85" spans="2:9" x14ac:dyDescent="0.3">
      <c r="B85" s="166" t="s">
        <v>318</v>
      </c>
      <c r="C85" s="167">
        <v>206121.41</v>
      </c>
      <c r="D85" s="180"/>
      <c r="E85" s="167">
        <v>178912.59</v>
      </c>
      <c r="F85" s="180"/>
      <c r="G85" s="165">
        <v>531.02</v>
      </c>
      <c r="H85" s="202">
        <v>178913</v>
      </c>
      <c r="I85" s="202">
        <v>206121</v>
      </c>
    </row>
    <row r="86" spans="2:9" x14ac:dyDescent="0.3">
      <c r="B86" s="166" t="s">
        <v>319</v>
      </c>
      <c r="C86" s="168">
        <v>206121.41</v>
      </c>
      <c r="D86" s="169"/>
      <c r="E86" s="168">
        <v>178912.59</v>
      </c>
      <c r="F86" s="169"/>
      <c r="G86" s="165" t="s">
        <v>484</v>
      </c>
      <c r="H86" s="199">
        <v>178913</v>
      </c>
      <c r="I86" s="198">
        <v>206121</v>
      </c>
    </row>
    <row r="87" spans="2:9" x14ac:dyDescent="0.3">
      <c r="B87" s="166" t="s">
        <v>320</v>
      </c>
      <c r="C87" s="178">
        <v>482625</v>
      </c>
      <c r="D87" s="169"/>
      <c r="E87" s="178">
        <v>482625</v>
      </c>
      <c r="F87" s="169"/>
      <c r="G87" s="165">
        <v>531.03</v>
      </c>
      <c r="H87" s="202">
        <v>482625</v>
      </c>
      <c r="I87" s="202">
        <v>482625</v>
      </c>
    </row>
    <row r="88" spans="2:9" x14ac:dyDescent="0.3">
      <c r="B88" s="166" t="s">
        <v>321</v>
      </c>
      <c r="C88" s="178">
        <v>523875.75</v>
      </c>
      <c r="D88" s="169"/>
      <c r="E88" s="178">
        <v>593276.25</v>
      </c>
      <c r="F88" s="169"/>
      <c r="G88" s="165">
        <v>531.04999999999995</v>
      </c>
      <c r="H88" s="202">
        <v>593276</v>
      </c>
      <c r="I88" s="202">
        <v>523876</v>
      </c>
    </row>
    <row r="89" spans="2:9" x14ac:dyDescent="0.3">
      <c r="B89" s="166" t="s">
        <v>322</v>
      </c>
      <c r="C89" s="178">
        <v>18916670</v>
      </c>
      <c r="D89" s="169"/>
      <c r="E89" s="178">
        <v>18916669</v>
      </c>
      <c r="F89" s="169"/>
      <c r="G89" s="165">
        <v>531.05999999999995</v>
      </c>
      <c r="H89" s="202">
        <v>18916669</v>
      </c>
      <c r="I89" s="202">
        <v>18916670</v>
      </c>
    </row>
    <row r="90" spans="2:9" x14ac:dyDescent="0.3">
      <c r="B90" s="166" t="s">
        <v>323</v>
      </c>
      <c r="C90" s="178">
        <v>4166666.6</v>
      </c>
      <c r="D90" s="169"/>
      <c r="E90" s="178">
        <v>4166667.4</v>
      </c>
      <c r="F90" s="169"/>
      <c r="G90" s="165">
        <v>531.07000000000005</v>
      </c>
      <c r="H90" s="202">
        <v>4166667</v>
      </c>
      <c r="I90" s="202">
        <v>4166667</v>
      </c>
    </row>
    <row r="91" spans="2:9" x14ac:dyDescent="0.3">
      <c r="B91" s="166" t="s">
        <v>324</v>
      </c>
      <c r="C91" s="168">
        <v>0</v>
      </c>
      <c r="D91" s="169"/>
      <c r="E91" s="168">
        <v>0</v>
      </c>
      <c r="F91" s="169"/>
      <c r="G91" s="165">
        <v>531.08000000000004</v>
      </c>
      <c r="H91" s="204">
        <v>0</v>
      </c>
      <c r="I91" s="204">
        <v>0</v>
      </c>
    </row>
    <row r="92" spans="2:9" x14ac:dyDescent="0.3">
      <c r="B92" s="166" t="s">
        <v>430</v>
      </c>
      <c r="C92" s="178">
        <v>0</v>
      </c>
      <c r="D92" s="169"/>
      <c r="E92" s="178">
        <v>0</v>
      </c>
      <c r="F92" s="169"/>
      <c r="G92" s="165" t="s">
        <v>485</v>
      </c>
      <c r="H92" s="199">
        <v>0</v>
      </c>
      <c r="I92" s="198">
        <v>0</v>
      </c>
    </row>
    <row r="93" spans="2:9" x14ac:dyDescent="0.3">
      <c r="B93" s="166" t="s">
        <v>325</v>
      </c>
      <c r="C93" s="168">
        <v>0</v>
      </c>
      <c r="D93" s="168"/>
      <c r="E93" s="168">
        <v>0</v>
      </c>
      <c r="F93" s="168"/>
      <c r="G93" s="165" t="s">
        <v>486</v>
      </c>
      <c r="H93" s="199">
        <v>0</v>
      </c>
      <c r="I93" s="198">
        <v>0</v>
      </c>
    </row>
    <row r="94" spans="2:9" x14ac:dyDescent="0.3">
      <c r="B94" s="166" t="s">
        <v>431</v>
      </c>
      <c r="C94" s="168">
        <v>0</v>
      </c>
      <c r="D94" s="168"/>
      <c r="E94" s="168">
        <v>0</v>
      </c>
      <c r="F94" s="168"/>
      <c r="G94" s="165">
        <v>531.09</v>
      </c>
      <c r="H94" s="199">
        <v>0</v>
      </c>
      <c r="I94" s="198">
        <v>0</v>
      </c>
    </row>
    <row r="95" spans="2:9" x14ac:dyDescent="0.3">
      <c r="B95" s="166" t="s">
        <v>326</v>
      </c>
      <c r="C95" s="178">
        <v>7499999.5599999996</v>
      </c>
      <c r="D95" s="168"/>
      <c r="E95" s="178">
        <v>7500000.4400000004</v>
      </c>
      <c r="F95" s="168"/>
      <c r="G95" s="165">
        <v>531.11</v>
      </c>
      <c r="H95" s="202">
        <v>7500000</v>
      </c>
      <c r="I95" s="202">
        <v>7500000</v>
      </c>
    </row>
    <row r="96" spans="2:9" x14ac:dyDescent="0.3">
      <c r="B96" s="166" t="s">
        <v>327</v>
      </c>
      <c r="C96" s="178">
        <v>552072.69999999995</v>
      </c>
      <c r="D96" s="169"/>
      <c r="E96" s="178">
        <v>547956.30000000005</v>
      </c>
      <c r="F96" s="169"/>
      <c r="G96" s="165">
        <v>531.12</v>
      </c>
      <c r="H96" s="202">
        <v>547956</v>
      </c>
      <c r="I96" s="202">
        <v>552073</v>
      </c>
    </row>
    <row r="97" spans="2:9" x14ac:dyDescent="0.3">
      <c r="B97" s="166" t="s">
        <v>328</v>
      </c>
      <c r="C97" s="178">
        <v>0</v>
      </c>
      <c r="D97" s="168"/>
      <c r="E97" s="178">
        <v>4500000</v>
      </c>
      <c r="F97" s="168"/>
      <c r="G97" s="165">
        <v>531.13</v>
      </c>
      <c r="H97" s="202">
        <v>4500000</v>
      </c>
      <c r="I97" s="204">
        <v>0</v>
      </c>
    </row>
    <row r="98" spans="2:9" x14ac:dyDescent="0.3">
      <c r="B98" s="166" t="s">
        <v>329</v>
      </c>
      <c r="C98" s="168">
        <v>3008122.13</v>
      </c>
      <c r="D98" s="168"/>
      <c r="E98" s="168">
        <v>3008121.87</v>
      </c>
      <c r="F98" s="168"/>
      <c r="G98" s="165">
        <v>531.14</v>
      </c>
      <c r="H98" s="202">
        <v>3008122</v>
      </c>
      <c r="I98" s="202">
        <v>3008122</v>
      </c>
    </row>
    <row r="99" spans="2:9" x14ac:dyDescent="0.3">
      <c r="B99" s="166" t="s">
        <v>330</v>
      </c>
      <c r="C99" s="178">
        <v>3000000</v>
      </c>
      <c r="D99" s="181"/>
      <c r="E99" s="178">
        <v>3000000</v>
      </c>
      <c r="F99" s="181"/>
      <c r="G99" s="165" t="s">
        <v>487</v>
      </c>
      <c r="H99" s="199">
        <v>3000000</v>
      </c>
      <c r="I99" s="198">
        <v>3000000</v>
      </c>
    </row>
    <row r="100" spans="2:9" x14ac:dyDescent="0.3">
      <c r="B100" s="166" t="s">
        <v>331</v>
      </c>
      <c r="C100" s="178">
        <v>8122.13</v>
      </c>
      <c r="D100" s="181"/>
      <c r="E100" s="178">
        <v>8121.87</v>
      </c>
      <c r="G100" s="165" t="s">
        <v>488</v>
      </c>
      <c r="H100" s="199">
        <v>8122</v>
      </c>
      <c r="I100" s="198">
        <v>8122</v>
      </c>
    </row>
    <row r="101" spans="2:9" x14ac:dyDescent="0.3">
      <c r="B101" s="183"/>
      <c r="C101" s="181"/>
      <c r="D101" s="181"/>
      <c r="E101" s="181"/>
      <c r="F101" s="184"/>
    </row>
    <row r="102" spans="2:9" x14ac:dyDescent="0.3">
      <c r="B102" s="183"/>
      <c r="C102" s="181"/>
      <c r="D102" s="181"/>
      <c r="E102" s="181"/>
      <c r="F102" s="184"/>
    </row>
    <row r="103" spans="2:9" x14ac:dyDescent="0.3">
      <c r="B103" s="183"/>
      <c r="C103" s="181"/>
      <c r="D103" s="181"/>
      <c r="E103" s="181"/>
      <c r="F103" s="184"/>
    </row>
    <row r="104" spans="2:9" x14ac:dyDescent="0.3">
      <c r="B104" s="183"/>
      <c r="C104" s="181"/>
      <c r="D104" s="181"/>
      <c r="E104" s="181"/>
      <c r="F104" s="184"/>
    </row>
    <row r="105" spans="2:9" x14ac:dyDescent="0.3">
      <c r="B105" s="183"/>
      <c r="C105" s="181"/>
      <c r="D105" s="181"/>
      <c r="E105" s="181"/>
    </row>
    <row r="106" spans="2:9" x14ac:dyDescent="0.3">
      <c r="B106" s="183"/>
      <c r="C106" s="181"/>
      <c r="D106" s="181"/>
      <c r="E106" s="181"/>
    </row>
    <row r="107" spans="2:9" x14ac:dyDescent="0.3">
      <c r="B107" s="183"/>
      <c r="C107" s="181"/>
      <c r="D107" s="181"/>
      <c r="E107" s="181"/>
    </row>
    <row r="108" spans="2:9" x14ac:dyDescent="0.3">
      <c r="B108" s="183"/>
      <c r="C108" s="181"/>
      <c r="D108" s="181"/>
      <c r="E108" s="181"/>
      <c r="F108" s="161"/>
    </row>
    <row r="109" spans="2:9" x14ac:dyDescent="0.3">
      <c r="B109" s="183"/>
      <c r="C109" s="181"/>
      <c r="D109" s="181"/>
      <c r="E109" s="181"/>
      <c r="F109" s="161"/>
    </row>
    <row r="110" spans="2:9" x14ac:dyDescent="0.3">
      <c r="B110" s="183"/>
      <c r="C110" s="181"/>
      <c r="D110" s="181"/>
      <c r="E110" s="181"/>
    </row>
    <row r="111" spans="2:9" x14ac:dyDescent="0.3">
      <c r="B111" s="183"/>
      <c r="C111" s="181"/>
      <c r="D111" s="181"/>
      <c r="E111" s="181"/>
      <c r="F111" s="184">
        <v>17</v>
      </c>
    </row>
    <row r="112" spans="2:9" x14ac:dyDescent="0.3">
      <c r="B112" s="183"/>
      <c r="C112" s="181"/>
      <c r="D112" s="181"/>
      <c r="E112" s="181"/>
    </row>
    <row r="113" spans="2:9" x14ac:dyDescent="0.3">
      <c r="B113" s="183"/>
      <c r="C113" s="181"/>
      <c r="D113" s="181"/>
      <c r="E113" s="181"/>
    </row>
    <row r="114" spans="2:9" x14ac:dyDescent="0.3">
      <c r="B114" s="284" t="s">
        <v>0</v>
      </c>
      <c r="C114" s="284"/>
      <c r="D114" s="284"/>
      <c r="E114" s="284"/>
      <c r="F114" s="284"/>
    </row>
    <row r="115" spans="2:9" x14ac:dyDescent="0.3">
      <c r="B115" s="284" t="s">
        <v>57</v>
      </c>
      <c r="C115" s="284"/>
      <c r="D115" s="284"/>
      <c r="E115" s="284"/>
      <c r="F115" s="284"/>
    </row>
    <row r="116" spans="2:9" x14ac:dyDescent="0.3">
      <c r="B116" s="284" t="str">
        <f>B3</f>
        <v>Al 31 DE ENERO 2023</v>
      </c>
      <c r="C116" s="284"/>
      <c r="D116" s="284"/>
      <c r="E116" s="284"/>
      <c r="F116" s="284"/>
    </row>
    <row r="117" spans="2:9" x14ac:dyDescent="0.3">
      <c r="B117" s="284" t="s">
        <v>58</v>
      </c>
      <c r="C117" s="284"/>
      <c r="D117" s="284"/>
      <c r="E117" s="284"/>
      <c r="F117" s="284"/>
    </row>
    <row r="118" spans="2:9" x14ac:dyDescent="0.3">
      <c r="B118" s="176"/>
      <c r="C118" s="286" t="s">
        <v>60</v>
      </c>
      <c r="D118" s="286"/>
      <c r="E118" s="286" t="s">
        <v>61</v>
      </c>
      <c r="F118" s="286"/>
    </row>
    <row r="119" spans="2:9" x14ac:dyDescent="0.3">
      <c r="B119" s="185" t="s">
        <v>11</v>
      </c>
      <c r="C119" s="162" t="s">
        <v>62</v>
      </c>
      <c r="D119" s="162" t="s">
        <v>63</v>
      </c>
      <c r="E119" s="162" t="s">
        <v>62</v>
      </c>
      <c r="F119" s="162" t="s">
        <v>63</v>
      </c>
    </row>
    <row r="120" spans="2:9" x14ac:dyDescent="0.3">
      <c r="B120" s="166" t="s">
        <v>332</v>
      </c>
      <c r="C120" s="167">
        <v>9221340.5499999989</v>
      </c>
      <c r="D120" s="180"/>
      <c r="E120" s="167">
        <v>9221341.4500000011</v>
      </c>
      <c r="F120" s="180"/>
      <c r="G120" s="165">
        <v>531.15</v>
      </c>
      <c r="H120" s="202">
        <v>9221341</v>
      </c>
      <c r="I120" s="202">
        <v>9221341</v>
      </c>
    </row>
    <row r="121" spans="2:9" x14ac:dyDescent="0.3">
      <c r="B121" s="166" t="s">
        <v>333</v>
      </c>
      <c r="C121" s="178">
        <v>-4054453.37</v>
      </c>
      <c r="D121" s="169"/>
      <c r="E121" s="178">
        <v>4054453.37</v>
      </c>
      <c r="F121" s="169"/>
      <c r="H121" s="199">
        <v>0</v>
      </c>
      <c r="I121" s="198">
        <v>0</v>
      </c>
    </row>
    <row r="122" spans="2:9" x14ac:dyDescent="0.3">
      <c r="B122" s="166" t="s">
        <v>334</v>
      </c>
      <c r="C122" s="178">
        <v>85553.51</v>
      </c>
      <c r="D122" s="169"/>
      <c r="E122" s="178">
        <v>85554.49</v>
      </c>
      <c r="F122" s="169"/>
      <c r="G122" s="165" t="s">
        <v>489</v>
      </c>
      <c r="H122" s="199">
        <v>85554</v>
      </c>
      <c r="I122" s="198">
        <v>85554</v>
      </c>
    </row>
    <row r="123" spans="2:9" x14ac:dyDescent="0.3">
      <c r="B123" s="166" t="s">
        <v>335</v>
      </c>
      <c r="C123" s="178">
        <v>4372167.1500000004</v>
      </c>
      <c r="D123" s="169"/>
      <c r="E123" s="178">
        <v>4372166.8499999996</v>
      </c>
      <c r="F123" s="169"/>
      <c r="G123" s="165" t="s">
        <v>490</v>
      </c>
      <c r="H123" s="199">
        <v>4372167</v>
      </c>
      <c r="I123" s="198">
        <v>4372167</v>
      </c>
    </row>
    <row r="124" spans="2:9" x14ac:dyDescent="0.3">
      <c r="B124" s="166" t="s">
        <v>336</v>
      </c>
      <c r="C124" s="178">
        <v>709167.26</v>
      </c>
      <c r="D124" s="169"/>
      <c r="E124" s="178">
        <v>709166.74</v>
      </c>
      <c r="F124" s="169"/>
      <c r="G124" s="165" t="s">
        <v>491</v>
      </c>
      <c r="H124" s="199">
        <v>709167</v>
      </c>
      <c r="I124" s="198">
        <v>709167</v>
      </c>
    </row>
    <row r="125" spans="2:9" x14ac:dyDescent="0.3">
      <c r="B125" s="166" t="s">
        <v>450</v>
      </c>
      <c r="C125" s="168">
        <v>8108906</v>
      </c>
      <c r="D125" s="168"/>
      <c r="E125" s="168">
        <v>0</v>
      </c>
      <c r="F125" s="168"/>
      <c r="G125" s="165" t="s">
        <v>492</v>
      </c>
      <c r="H125" s="199">
        <v>4054453</v>
      </c>
      <c r="I125" s="198">
        <v>4054453</v>
      </c>
    </row>
    <row r="126" spans="2:9" x14ac:dyDescent="0.3">
      <c r="B126" s="166" t="s">
        <v>337</v>
      </c>
      <c r="C126" s="178">
        <v>1150477.5999999999</v>
      </c>
      <c r="D126" s="169"/>
      <c r="E126" s="178">
        <v>1150478.4000000001</v>
      </c>
      <c r="F126" s="169"/>
      <c r="G126" s="165">
        <v>531.16999999999996</v>
      </c>
      <c r="H126" s="202">
        <v>1150478</v>
      </c>
      <c r="I126" s="202">
        <v>1150478</v>
      </c>
    </row>
    <row r="127" spans="2:9" x14ac:dyDescent="0.3">
      <c r="B127" s="166" t="s">
        <v>338</v>
      </c>
      <c r="C127" s="178">
        <v>322950</v>
      </c>
      <c r="D127" s="169"/>
      <c r="E127" s="178">
        <v>307950</v>
      </c>
      <c r="F127" s="169"/>
      <c r="G127" s="165">
        <v>531.17999999999995</v>
      </c>
      <c r="H127" s="202">
        <v>307950</v>
      </c>
      <c r="I127" s="202">
        <v>322950</v>
      </c>
    </row>
    <row r="128" spans="2:9" x14ac:dyDescent="0.3">
      <c r="B128" s="166" t="s">
        <v>339</v>
      </c>
      <c r="C128" s="168">
        <v>7354148.5300000003</v>
      </c>
      <c r="D128" s="169"/>
      <c r="E128" s="168">
        <v>7387149.4699999997</v>
      </c>
      <c r="F128" s="169"/>
      <c r="G128" s="165">
        <v>531.99</v>
      </c>
      <c r="H128" s="202">
        <v>7387149</v>
      </c>
      <c r="I128" s="202">
        <v>7354149</v>
      </c>
    </row>
    <row r="129" spans="2:9" x14ac:dyDescent="0.3">
      <c r="B129" s="166" t="s">
        <v>340</v>
      </c>
      <c r="C129" s="178">
        <v>1741507.42</v>
      </c>
      <c r="D129" s="168"/>
      <c r="E129" s="178">
        <v>1771506.58</v>
      </c>
      <c r="F129" s="168"/>
      <c r="G129" s="165" t="s">
        <v>493</v>
      </c>
      <c r="H129" s="199">
        <v>1771507</v>
      </c>
      <c r="I129" s="198">
        <v>1741507</v>
      </c>
    </row>
    <row r="130" spans="2:9" x14ac:dyDescent="0.3">
      <c r="B130" s="166" t="s">
        <v>341</v>
      </c>
      <c r="C130" s="178">
        <v>350000</v>
      </c>
      <c r="D130" s="169"/>
      <c r="E130" s="178">
        <v>350000</v>
      </c>
      <c r="F130" s="169"/>
      <c r="G130" s="165" t="s">
        <v>494</v>
      </c>
      <c r="H130" s="199">
        <v>350000</v>
      </c>
      <c r="I130" s="198">
        <v>350000</v>
      </c>
    </row>
    <row r="131" spans="2:9" x14ac:dyDescent="0.3">
      <c r="B131" s="166" t="s">
        <v>342</v>
      </c>
      <c r="C131" s="178">
        <v>4378332.6500000004</v>
      </c>
      <c r="D131" s="169"/>
      <c r="E131" s="178">
        <v>4378333.3499999996</v>
      </c>
      <c r="F131" s="169"/>
      <c r="G131" s="165" t="s">
        <v>495</v>
      </c>
      <c r="H131" s="199">
        <v>4378333</v>
      </c>
      <c r="I131" s="198">
        <v>4378333</v>
      </c>
    </row>
    <row r="132" spans="2:9" x14ac:dyDescent="0.3">
      <c r="B132" s="166" t="s">
        <v>343</v>
      </c>
      <c r="C132" s="178">
        <v>839118.13</v>
      </c>
      <c r="D132" s="169"/>
      <c r="E132" s="178">
        <v>839117.87</v>
      </c>
      <c r="F132" s="169"/>
      <c r="G132" s="165" t="s">
        <v>496</v>
      </c>
      <c r="H132" s="199">
        <v>839118</v>
      </c>
      <c r="I132" s="198">
        <v>839118</v>
      </c>
    </row>
    <row r="133" spans="2:9" x14ac:dyDescent="0.3">
      <c r="B133" s="166" t="s">
        <v>344</v>
      </c>
      <c r="C133" s="178">
        <v>45192.33</v>
      </c>
      <c r="D133" s="169"/>
      <c r="E133" s="178">
        <v>48191.67</v>
      </c>
      <c r="F133" s="169"/>
      <c r="G133" s="165" t="s">
        <v>497</v>
      </c>
      <c r="H133" s="199">
        <v>48192</v>
      </c>
      <c r="I133" s="198">
        <v>45192</v>
      </c>
    </row>
    <row r="134" spans="2:9" x14ac:dyDescent="0.3">
      <c r="B134" s="166" t="s">
        <v>345</v>
      </c>
      <c r="C134" s="167">
        <v>3814558.33</v>
      </c>
      <c r="D134" s="167"/>
      <c r="E134" s="167">
        <v>3815307.67</v>
      </c>
      <c r="F134" s="167"/>
      <c r="G134" s="165">
        <v>532</v>
      </c>
      <c r="H134" s="199">
        <v>3815308</v>
      </c>
      <c r="I134" s="198">
        <v>3814558</v>
      </c>
    </row>
    <row r="135" spans="2:9" x14ac:dyDescent="0.3">
      <c r="B135" s="166" t="s">
        <v>476</v>
      </c>
      <c r="C135" s="178">
        <v>4440</v>
      </c>
      <c r="D135" s="168"/>
      <c r="E135" s="178">
        <v>4440</v>
      </c>
      <c r="F135" s="168"/>
      <c r="G135" s="165">
        <v>532.01</v>
      </c>
      <c r="H135" s="202">
        <v>4440</v>
      </c>
      <c r="I135" s="202">
        <v>4440</v>
      </c>
    </row>
    <row r="136" spans="2:9" x14ac:dyDescent="0.3">
      <c r="B136" s="166" t="s">
        <v>346</v>
      </c>
      <c r="C136" s="178">
        <v>299225</v>
      </c>
      <c r="D136" s="169"/>
      <c r="E136" s="178">
        <v>299225</v>
      </c>
      <c r="F136" s="169"/>
      <c r="G136" s="165">
        <v>532.02</v>
      </c>
      <c r="H136" s="202">
        <v>299225</v>
      </c>
      <c r="I136" s="202">
        <v>299225</v>
      </c>
    </row>
    <row r="137" spans="2:9" x14ac:dyDescent="0.3">
      <c r="B137" s="166" t="s">
        <v>347</v>
      </c>
      <c r="C137" s="178">
        <v>17000</v>
      </c>
      <c r="D137" s="169"/>
      <c r="E137" s="178">
        <v>17000</v>
      </c>
      <c r="F137" s="169"/>
      <c r="G137" s="165">
        <v>532.03</v>
      </c>
      <c r="H137" s="202">
        <v>17000</v>
      </c>
      <c r="I137" s="202">
        <v>17000</v>
      </c>
    </row>
    <row r="138" spans="2:9" x14ac:dyDescent="0.3">
      <c r="B138" s="166" t="s">
        <v>348</v>
      </c>
      <c r="C138" s="178">
        <v>42247.46</v>
      </c>
      <c r="D138" s="169"/>
      <c r="E138" s="178">
        <v>42996.54</v>
      </c>
      <c r="F138" s="169"/>
      <c r="G138" s="165">
        <v>532.04</v>
      </c>
      <c r="H138" s="202">
        <v>42997</v>
      </c>
      <c r="I138" s="202">
        <v>42247</v>
      </c>
    </row>
    <row r="139" spans="2:9" x14ac:dyDescent="0.3">
      <c r="B139" s="166" t="s">
        <v>349</v>
      </c>
      <c r="C139" s="178">
        <v>0</v>
      </c>
      <c r="D139" s="169"/>
      <c r="E139" s="178">
        <v>0</v>
      </c>
      <c r="F139" s="169"/>
      <c r="G139" s="165">
        <v>532.05999999999995</v>
      </c>
      <c r="H139" s="202">
        <v>0</v>
      </c>
      <c r="I139" s="202">
        <v>0</v>
      </c>
    </row>
    <row r="140" spans="2:9" x14ac:dyDescent="0.3">
      <c r="B140" s="166" t="s">
        <v>350</v>
      </c>
      <c r="C140" s="178">
        <v>3451645.87</v>
      </c>
      <c r="D140" s="169"/>
      <c r="E140" s="178">
        <v>3451646.13</v>
      </c>
      <c r="F140" s="169"/>
      <c r="G140" s="165">
        <v>532.99</v>
      </c>
      <c r="H140" s="202">
        <v>3451646</v>
      </c>
      <c r="I140" s="202">
        <v>3451646</v>
      </c>
    </row>
    <row r="141" spans="2:9" x14ac:dyDescent="0.3">
      <c r="B141" s="166" t="s">
        <v>351</v>
      </c>
      <c r="C141" s="167">
        <v>6886887.21</v>
      </c>
      <c r="D141" s="180"/>
      <c r="E141" s="167">
        <v>6777914.79</v>
      </c>
      <c r="F141" s="180"/>
      <c r="G141" s="165">
        <v>533</v>
      </c>
      <c r="H141" s="199">
        <v>6777914</v>
      </c>
      <c r="I141" s="198">
        <v>6886888</v>
      </c>
    </row>
    <row r="142" spans="2:9" x14ac:dyDescent="0.3">
      <c r="B142" s="166" t="s">
        <v>352</v>
      </c>
      <c r="C142" s="167">
        <v>285877.57</v>
      </c>
      <c r="D142" s="167"/>
      <c r="E142" s="167">
        <v>274678.43</v>
      </c>
      <c r="F142" s="167"/>
      <c r="G142" s="165">
        <v>533.01</v>
      </c>
      <c r="H142" s="202">
        <v>274678</v>
      </c>
      <c r="I142" s="202">
        <v>285878</v>
      </c>
    </row>
    <row r="143" spans="2:9" x14ac:dyDescent="0.3">
      <c r="B143" s="166" t="s">
        <v>353</v>
      </c>
      <c r="C143" s="178">
        <v>277468.69</v>
      </c>
      <c r="D143" s="169"/>
      <c r="E143" s="178">
        <v>266269.31</v>
      </c>
      <c r="F143" s="169"/>
      <c r="G143" s="165" t="s">
        <v>498</v>
      </c>
      <c r="H143" s="199">
        <f>35999+211145+19125</f>
        <v>266269</v>
      </c>
      <c r="I143" s="198">
        <f>36799+221045+19625</f>
        <v>277469</v>
      </c>
    </row>
    <row r="144" spans="2:9" x14ac:dyDescent="0.3">
      <c r="B144" s="166" t="s">
        <v>354</v>
      </c>
      <c r="C144" s="178">
        <v>8408.8799999999992</v>
      </c>
      <c r="D144" s="168"/>
      <c r="E144" s="178">
        <v>8409.1200000000008</v>
      </c>
      <c r="F144" s="168"/>
      <c r="G144" s="165" t="s">
        <v>499</v>
      </c>
      <c r="H144" s="199">
        <v>8409</v>
      </c>
      <c r="I144" s="198">
        <v>8409</v>
      </c>
    </row>
    <row r="145" spans="2:9" x14ac:dyDescent="0.3">
      <c r="B145" s="166" t="s">
        <v>355</v>
      </c>
      <c r="C145" s="178">
        <v>381325.85</v>
      </c>
      <c r="D145" s="169"/>
      <c r="E145" s="178">
        <v>381326.15</v>
      </c>
      <c r="F145" s="169"/>
      <c r="G145" s="165">
        <v>533.02</v>
      </c>
      <c r="H145" s="202">
        <v>381326</v>
      </c>
      <c r="I145" s="202">
        <v>381326</v>
      </c>
    </row>
    <row r="146" spans="2:9" x14ac:dyDescent="0.3">
      <c r="B146" s="166" t="s">
        <v>356</v>
      </c>
      <c r="C146" s="168">
        <v>919972.16</v>
      </c>
      <c r="D146" s="169"/>
      <c r="E146" s="168">
        <v>827771.84</v>
      </c>
      <c r="F146" s="169"/>
      <c r="G146" s="165">
        <v>533.03</v>
      </c>
      <c r="H146" s="202">
        <v>827772</v>
      </c>
      <c r="I146" s="202">
        <v>919972</v>
      </c>
    </row>
    <row r="147" spans="2:9" x14ac:dyDescent="0.3">
      <c r="B147" s="166" t="s">
        <v>357</v>
      </c>
      <c r="C147" s="178">
        <v>290672.21999999997</v>
      </c>
      <c r="D147" s="169"/>
      <c r="E147" s="178">
        <v>296471.78000000003</v>
      </c>
      <c r="F147" s="169"/>
      <c r="G147" s="165" t="s">
        <v>500</v>
      </c>
      <c r="H147" s="199">
        <v>296472</v>
      </c>
      <c r="I147" s="198">
        <v>290672</v>
      </c>
    </row>
    <row r="148" spans="2:9" x14ac:dyDescent="0.3">
      <c r="B148" s="166" t="s">
        <v>358</v>
      </c>
      <c r="C148" s="178">
        <v>214589.22999999998</v>
      </c>
      <c r="D148" s="169"/>
      <c r="E148" s="178">
        <v>211588.77000000002</v>
      </c>
      <c r="F148" s="169"/>
      <c r="G148" s="165" t="s">
        <v>501</v>
      </c>
      <c r="H148" s="199">
        <v>211589</v>
      </c>
      <c r="I148" s="198">
        <v>214589</v>
      </c>
    </row>
    <row r="149" spans="2:9" x14ac:dyDescent="0.3">
      <c r="B149" s="166" t="s">
        <v>359</v>
      </c>
      <c r="C149" s="178">
        <v>318756.86</v>
      </c>
      <c r="D149" s="169"/>
      <c r="E149" s="178">
        <v>218757.14</v>
      </c>
      <c r="F149" s="169"/>
      <c r="G149" s="165" t="s">
        <v>502</v>
      </c>
      <c r="H149" s="199">
        <v>218757</v>
      </c>
      <c r="I149" s="198">
        <v>318757</v>
      </c>
    </row>
    <row r="150" spans="2:9" x14ac:dyDescent="0.3">
      <c r="B150" s="166" t="s">
        <v>360</v>
      </c>
      <c r="C150" s="178">
        <v>95953.849999999991</v>
      </c>
      <c r="D150" s="169"/>
      <c r="E150" s="178">
        <v>100954.15000000001</v>
      </c>
      <c r="F150" s="169"/>
      <c r="G150" s="165" t="s">
        <v>503</v>
      </c>
      <c r="H150" s="199">
        <v>100954</v>
      </c>
      <c r="I150" s="198">
        <v>95954</v>
      </c>
    </row>
    <row r="151" spans="2:9" x14ac:dyDescent="0.3">
      <c r="B151" s="166" t="s">
        <v>361</v>
      </c>
      <c r="C151" s="178">
        <v>26544.77</v>
      </c>
      <c r="D151" s="168"/>
      <c r="E151" s="178">
        <v>26545.23</v>
      </c>
      <c r="F151" s="168"/>
      <c r="G151" s="165">
        <v>533.04</v>
      </c>
      <c r="H151" s="202">
        <v>26545</v>
      </c>
      <c r="I151" s="202">
        <v>26545</v>
      </c>
    </row>
    <row r="152" spans="2:9" x14ac:dyDescent="0.3">
      <c r="B152" s="166" t="s">
        <v>362</v>
      </c>
      <c r="C152" s="178">
        <v>1141201</v>
      </c>
      <c r="D152" s="169"/>
      <c r="E152" s="178">
        <v>1141201</v>
      </c>
      <c r="F152" s="169"/>
      <c r="G152" s="165">
        <v>533.04999999999995</v>
      </c>
      <c r="H152" s="202">
        <v>1141201</v>
      </c>
      <c r="I152" s="202">
        <v>1141201</v>
      </c>
    </row>
    <row r="153" spans="2:9" x14ac:dyDescent="0.3">
      <c r="B153" s="166" t="s">
        <v>363</v>
      </c>
      <c r="C153" s="178">
        <v>1703796.8399999999</v>
      </c>
      <c r="D153" s="169"/>
      <c r="E153" s="178">
        <v>1703797.1600000001</v>
      </c>
      <c r="F153" s="169"/>
      <c r="G153" s="165">
        <v>533.05999999999995</v>
      </c>
      <c r="H153" s="202">
        <v>1703797</v>
      </c>
      <c r="I153" s="202">
        <v>1703797</v>
      </c>
    </row>
    <row r="154" spans="2:9" x14ac:dyDescent="0.3">
      <c r="B154" s="166" t="s">
        <v>364</v>
      </c>
      <c r="C154" s="168">
        <v>2428169.02</v>
      </c>
      <c r="D154" s="169"/>
      <c r="E154" s="168">
        <v>2422594.98</v>
      </c>
      <c r="F154" s="169"/>
      <c r="G154" s="165">
        <v>533.99</v>
      </c>
      <c r="H154" s="202">
        <v>2422595</v>
      </c>
      <c r="I154" s="202">
        <v>2428169</v>
      </c>
    </row>
    <row r="155" spans="2:9" x14ac:dyDescent="0.3">
      <c r="B155" s="166" t="s">
        <v>365</v>
      </c>
      <c r="C155" s="178">
        <v>2426667.02</v>
      </c>
      <c r="D155" s="169"/>
      <c r="E155" s="178">
        <v>2421094.98</v>
      </c>
      <c r="F155" s="169"/>
      <c r="G155" s="165" t="s">
        <v>504</v>
      </c>
      <c r="H155" s="199">
        <v>2421094</v>
      </c>
      <c r="I155" s="198">
        <v>2426668</v>
      </c>
    </row>
    <row r="156" spans="2:9" x14ac:dyDescent="0.3">
      <c r="B156" s="166" t="s">
        <v>432</v>
      </c>
      <c r="C156" s="178">
        <v>1500</v>
      </c>
      <c r="D156" s="169"/>
      <c r="E156" s="178">
        <v>1500</v>
      </c>
      <c r="F156" s="169"/>
      <c r="G156" s="165" t="s">
        <v>505</v>
      </c>
      <c r="H156" s="199">
        <v>1500</v>
      </c>
      <c r="I156" s="198">
        <v>1500</v>
      </c>
    </row>
    <row r="157" spans="2:9" x14ac:dyDescent="0.3">
      <c r="B157" s="166" t="s">
        <v>366</v>
      </c>
      <c r="C157" s="167">
        <v>9706494.6699999999</v>
      </c>
      <c r="D157" s="180"/>
      <c r="E157" s="167">
        <v>9712095.3300000001</v>
      </c>
      <c r="F157" s="194"/>
      <c r="G157" s="201">
        <v>534</v>
      </c>
      <c r="H157" s="199">
        <v>9712095</v>
      </c>
      <c r="I157" s="198">
        <v>9706495</v>
      </c>
    </row>
    <row r="158" spans="2:9" x14ac:dyDescent="0.3">
      <c r="B158" s="166" t="s">
        <v>367</v>
      </c>
      <c r="C158" s="168">
        <v>-270449.09000000003</v>
      </c>
      <c r="D158" s="169"/>
      <c r="E158" s="168">
        <v>279329.09000000003</v>
      </c>
      <c r="F158" s="195"/>
      <c r="G158" s="201">
        <v>534.01</v>
      </c>
      <c r="H158" s="202">
        <v>4440</v>
      </c>
      <c r="I158" s="202">
        <v>4440</v>
      </c>
    </row>
    <row r="159" spans="2:9" x14ac:dyDescent="0.3">
      <c r="B159" s="187" t="s">
        <v>368</v>
      </c>
      <c r="C159" s="168">
        <v>-1392218.9000000001</v>
      </c>
      <c r="D159" s="188"/>
      <c r="E159" s="168">
        <v>1426218.9000000001</v>
      </c>
      <c r="F159" s="196"/>
      <c r="G159" s="201">
        <v>534.03</v>
      </c>
      <c r="H159" s="202">
        <v>17000</v>
      </c>
      <c r="I159" s="202">
        <v>17000</v>
      </c>
    </row>
    <row r="160" spans="2:9" x14ac:dyDescent="0.3">
      <c r="B160" s="187" t="s">
        <v>369</v>
      </c>
      <c r="C160" s="178">
        <v>187564.48</v>
      </c>
      <c r="D160" s="188"/>
      <c r="E160" s="178">
        <v>187563.51999999999</v>
      </c>
      <c r="F160" s="196"/>
      <c r="G160" s="161" t="s">
        <v>523</v>
      </c>
      <c r="H160" s="199">
        <v>187564</v>
      </c>
      <c r="I160" s="198">
        <v>187564</v>
      </c>
    </row>
    <row r="161" spans="2:9" x14ac:dyDescent="0.3">
      <c r="B161" s="187" t="s">
        <v>370</v>
      </c>
      <c r="C161" s="178">
        <v>346299.98</v>
      </c>
      <c r="D161" s="188"/>
      <c r="E161" s="178">
        <v>346300.02</v>
      </c>
      <c r="F161" s="196"/>
      <c r="G161" s="161" t="s">
        <v>524</v>
      </c>
      <c r="H161" s="199">
        <v>346300</v>
      </c>
      <c r="I161" s="198">
        <v>346300</v>
      </c>
    </row>
    <row r="162" spans="2:9" x14ac:dyDescent="0.3">
      <c r="B162" s="187" t="s">
        <v>371</v>
      </c>
      <c r="C162" s="167">
        <v>889354.64</v>
      </c>
      <c r="D162" s="189"/>
      <c r="E162" s="167">
        <v>892355.36</v>
      </c>
      <c r="F162" s="197"/>
      <c r="G162" s="161" t="s">
        <v>525</v>
      </c>
      <c r="H162" s="199">
        <f>850200+42155</f>
        <v>892355</v>
      </c>
      <c r="I162" s="198">
        <f>848200+41155</f>
        <v>889355</v>
      </c>
    </row>
    <row r="163" spans="2:9" x14ac:dyDescent="0.3">
      <c r="B163" s="166" t="s">
        <v>372</v>
      </c>
      <c r="C163" s="178">
        <v>848199.64</v>
      </c>
      <c r="D163" s="169"/>
      <c r="E163" s="178">
        <v>850200.36</v>
      </c>
      <c r="F163" s="195"/>
      <c r="G163" s="161" t="s">
        <v>526</v>
      </c>
      <c r="H163" s="199">
        <v>850200</v>
      </c>
      <c r="I163" s="198">
        <v>848200</v>
      </c>
    </row>
    <row r="164" spans="2:9" x14ac:dyDescent="0.3">
      <c r="B164" s="166" t="s">
        <v>373</v>
      </c>
      <c r="C164" s="178">
        <v>41155</v>
      </c>
      <c r="D164" s="169"/>
      <c r="E164" s="178">
        <v>42155</v>
      </c>
      <c r="F164" s="195"/>
      <c r="G164" s="161" t="s">
        <v>527</v>
      </c>
      <c r="H164" s="199">
        <v>42155</v>
      </c>
      <c r="I164" s="198">
        <v>41155</v>
      </c>
    </row>
    <row r="165" spans="2:9" x14ac:dyDescent="0.3">
      <c r="F165" s="161"/>
    </row>
    <row r="166" spans="2:9" x14ac:dyDescent="0.3">
      <c r="F166" s="184"/>
    </row>
    <row r="167" spans="2:9" x14ac:dyDescent="0.3">
      <c r="F167" s="184"/>
    </row>
    <row r="168" spans="2:9" x14ac:dyDescent="0.3">
      <c r="F168" s="184"/>
    </row>
    <row r="169" spans="2:9" x14ac:dyDescent="0.3">
      <c r="F169" s="184">
        <v>18</v>
      </c>
    </row>
    <row r="170" spans="2:9" x14ac:dyDescent="0.3">
      <c r="F170" s="161"/>
    </row>
    <row r="171" spans="2:9" x14ac:dyDescent="0.3">
      <c r="B171" s="284" t="s">
        <v>0</v>
      </c>
      <c r="C171" s="284"/>
      <c r="D171" s="284"/>
      <c r="E171" s="284"/>
      <c r="F171" s="284"/>
    </row>
    <row r="172" spans="2:9" x14ac:dyDescent="0.3">
      <c r="B172" s="284" t="s">
        <v>57</v>
      </c>
      <c r="C172" s="284"/>
      <c r="D172" s="284"/>
      <c r="E172" s="284"/>
      <c r="F172" s="284"/>
    </row>
    <row r="173" spans="2:9" x14ac:dyDescent="0.3">
      <c r="B173" s="284" t="str">
        <f>B3</f>
        <v>Al 31 DE ENERO 2023</v>
      </c>
      <c r="C173" s="284"/>
      <c r="D173" s="284"/>
      <c r="E173" s="284"/>
      <c r="F173" s="284"/>
    </row>
    <row r="174" spans="2:9" x14ac:dyDescent="0.3">
      <c r="B174" s="284" t="s">
        <v>58</v>
      </c>
      <c r="C174" s="284"/>
      <c r="D174" s="284"/>
      <c r="E174" s="284"/>
      <c r="F174" s="284"/>
    </row>
    <row r="175" spans="2:9" x14ac:dyDescent="0.3">
      <c r="B175" s="186"/>
      <c r="C175" s="286" t="s">
        <v>60</v>
      </c>
      <c r="D175" s="286"/>
      <c r="E175" s="286" t="s">
        <v>61</v>
      </c>
      <c r="F175" s="286"/>
    </row>
    <row r="176" spans="2:9" x14ac:dyDescent="0.3">
      <c r="B176" s="185" t="s">
        <v>11</v>
      </c>
      <c r="C176" s="162" t="s">
        <v>62</v>
      </c>
      <c r="D176" s="162" t="s">
        <v>63</v>
      </c>
      <c r="E176" s="162" t="s">
        <v>62</v>
      </c>
      <c r="F176" s="162" t="s">
        <v>63</v>
      </c>
    </row>
    <row r="177" spans="2:9" x14ac:dyDescent="0.3">
      <c r="B177" s="166" t="s">
        <v>374</v>
      </c>
      <c r="C177" s="178">
        <v>2622647.7799999998</v>
      </c>
      <c r="D177" s="169">
        <v>1928544.06</v>
      </c>
      <c r="E177" s="178">
        <v>2625248.2200000002</v>
      </c>
      <c r="F177" s="169">
        <v>1928544.06</v>
      </c>
      <c r="G177" s="165">
        <v>534.04</v>
      </c>
      <c r="H177" s="202">
        <v>2625248</v>
      </c>
      <c r="I177" s="202">
        <v>2622648</v>
      </c>
    </row>
    <row r="178" spans="2:9" x14ac:dyDescent="0.3">
      <c r="B178" s="166" t="s">
        <v>375</v>
      </c>
      <c r="C178" s="167">
        <v>719240</v>
      </c>
      <c r="D178" s="180">
        <v>672727.39</v>
      </c>
      <c r="E178" s="167">
        <v>719240</v>
      </c>
      <c r="F178" s="180">
        <v>672727.39</v>
      </c>
      <c r="G178" s="165">
        <v>534.04999999999995</v>
      </c>
      <c r="H178" s="202">
        <v>719240</v>
      </c>
      <c r="I178" s="202">
        <v>719240</v>
      </c>
    </row>
    <row r="179" spans="2:9" x14ac:dyDescent="0.3">
      <c r="B179" s="166" t="s">
        <v>376</v>
      </c>
      <c r="C179" s="178">
        <v>719240</v>
      </c>
      <c r="D179" s="169">
        <v>672727.39</v>
      </c>
      <c r="E179" s="178">
        <v>719240</v>
      </c>
      <c r="F179" s="169">
        <v>672727.39</v>
      </c>
      <c r="G179" s="165" t="s">
        <v>506</v>
      </c>
      <c r="H179" s="199">
        <v>719240</v>
      </c>
      <c r="I179" s="198">
        <v>719240</v>
      </c>
    </row>
    <row r="180" spans="2:9" x14ac:dyDescent="0.3">
      <c r="B180" s="166" t="s">
        <v>377</v>
      </c>
      <c r="C180" s="178">
        <v>10882.67</v>
      </c>
      <c r="D180" s="181">
        <v>0</v>
      </c>
      <c r="E180" s="178">
        <v>10883.33</v>
      </c>
      <c r="F180" s="181">
        <v>0</v>
      </c>
      <c r="G180" s="165">
        <v>534.05999999999995</v>
      </c>
      <c r="H180" s="202">
        <v>10883</v>
      </c>
      <c r="I180" s="202">
        <v>10883</v>
      </c>
    </row>
    <row r="181" spans="2:9" x14ac:dyDescent="0.3">
      <c r="B181" s="166" t="s">
        <v>378</v>
      </c>
      <c r="C181" s="178">
        <v>2588156.61</v>
      </c>
      <c r="D181" s="169">
        <v>2162887.1800000002</v>
      </c>
      <c r="E181" s="178">
        <v>2588157.39</v>
      </c>
      <c r="F181" s="169">
        <v>2162887.1800000002</v>
      </c>
      <c r="G181" s="165" t="s">
        <v>507</v>
      </c>
      <c r="H181" s="199">
        <v>2588157</v>
      </c>
      <c r="I181" s="198">
        <v>2588157</v>
      </c>
    </row>
    <row r="182" spans="2:9" x14ac:dyDescent="0.3">
      <c r="B182" s="166" t="s">
        <v>379</v>
      </c>
      <c r="C182" s="178">
        <v>1221020.0999999999</v>
      </c>
      <c r="D182" s="169">
        <v>1360639.45</v>
      </c>
      <c r="E182" s="178">
        <v>1221019.9000000001</v>
      </c>
      <c r="F182" s="169">
        <v>1360639.45</v>
      </c>
      <c r="G182" s="165" t="s">
        <v>508</v>
      </c>
      <c r="H182" s="199">
        <v>1221020</v>
      </c>
      <c r="I182" s="198">
        <v>1221020</v>
      </c>
    </row>
    <row r="183" spans="2:9" x14ac:dyDescent="0.3">
      <c r="B183" s="166" t="s">
        <v>380</v>
      </c>
      <c r="C183" s="178">
        <v>841124.5</v>
      </c>
      <c r="D183" s="169">
        <v>751855.52</v>
      </c>
      <c r="E183" s="178">
        <v>841123.5</v>
      </c>
      <c r="F183" s="169">
        <v>751855.52</v>
      </c>
      <c r="G183" s="165" t="s">
        <v>509</v>
      </c>
      <c r="H183" s="199">
        <v>841124</v>
      </c>
      <c r="I183" s="198">
        <v>841124</v>
      </c>
    </row>
    <row r="184" spans="2:9" x14ac:dyDescent="0.3">
      <c r="B184" s="166" t="s">
        <v>381</v>
      </c>
      <c r="C184" s="178">
        <v>875</v>
      </c>
      <c r="D184" s="168">
        <v>0</v>
      </c>
      <c r="E184" s="178">
        <v>875</v>
      </c>
      <c r="F184" s="168">
        <v>0</v>
      </c>
      <c r="G184" s="165" t="s">
        <v>510</v>
      </c>
      <c r="H184" s="199">
        <v>875</v>
      </c>
      <c r="I184" s="198">
        <v>875</v>
      </c>
    </row>
    <row r="185" spans="2:9" x14ac:dyDescent="0.3">
      <c r="B185" s="166" t="s">
        <v>382</v>
      </c>
      <c r="C185" s="178">
        <v>186338</v>
      </c>
      <c r="D185" s="169">
        <v>47945.78</v>
      </c>
      <c r="E185" s="178">
        <v>0</v>
      </c>
      <c r="F185" s="169">
        <v>47945.78</v>
      </c>
      <c r="G185" s="165">
        <v>534.08000000000004</v>
      </c>
      <c r="H185" s="202">
        <v>97519</v>
      </c>
      <c r="I185" s="202">
        <v>88819</v>
      </c>
    </row>
    <row r="186" spans="2:9" x14ac:dyDescent="0.3">
      <c r="B186" s="166" t="s">
        <v>13</v>
      </c>
      <c r="C186" s="167">
        <v>6091879.8499999996</v>
      </c>
      <c r="D186" s="180">
        <v>4177993.04</v>
      </c>
      <c r="E186" s="167">
        <v>5982661.1500000004</v>
      </c>
      <c r="F186" s="180">
        <v>4177993.04</v>
      </c>
      <c r="G186" s="165">
        <v>539</v>
      </c>
      <c r="H186" s="199">
        <v>5982663</v>
      </c>
      <c r="I186" s="198">
        <v>6091878</v>
      </c>
    </row>
    <row r="187" spans="2:9" x14ac:dyDescent="0.3">
      <c r="B187" s="166" t="s">
        <v>383</v>
      </c>
      <c r="C187" s="178">
        <v>723613.22</v>
      </c>
      <c r="D187" s="169">
        <v>20894</v>
      </c>
      <c r="E187" s="178">
        <v>39038.78</v>
      </c>
      <c r="F187" s="169">
        <v>20894</v>
      </c>
      <c r="G187" s="165">
        <v>539.02</v>
      </c>
      <c r="H187" s="199">
        <v>381326</v>
      </c>
      <c r="I187" s="198">
        <v>381326</v>
      </c>
    </row>
    <row r="188" spans="2:9" x14ac:dyDescent="0.3">
      <c r="B188" s="166" t="s">
        <v>384</v>
      </c>
      <c r="C188" s="178">
        <v>-727070.61</v>
      </c>
      <c r="D188" s="169">
        <v>1646879.72</v>
      </c>
      <c r="E188" s="178">
        <v>780160.61</v>
      </c>
      <c r="F188" s="169">
        <v>1646879.72</v>
      </c>
      <c r="G188" s="165">
        <v>539.04</v>
      </c>
      <c r="H188" s="202">
        <v>26545</v>
      </c>
      <c r="I188" s="202">
        <v>26545</v>
      </c>
    </row>
    <row r="189" spans="2:9" x14ac:dyDescent="0.3">
      <c r="B189" s="166" t="s">
        <v>385</v>
      </c>
      <c r="C189" s="168">
        <v>2140010.4299999997</v>
      </c>
      <c r="D189" s="169">
        <v>732855.57000000007</v>
      </c>
      <c r="E189" s="168">
        <v>1267583.57</v>
      </c>
      <c r="F189" s="169">
        <v>732855.57000000007</v>
      </c>
      <c r="G189" s="165">
        <v>539.05999999999995</v>
      </c>
      <c r="H189" s="202">
        <v>1703797</v>
      </c>
      <c r="I189" s="202">
        <v>1703797</v>
      </c>
    </row>
    <row r="190" spans="2:9" x14ac:dyDescent="0.3">
      <c r="B190" s="166" t="s">
        <v>386</v>
      </c>
      <c r="C190" s="178">
        <v>975556.2</v>
      </c>
      <c r="D190" s="169">
        <v>568136.31000000006</v>
      </c>
      <c r="E190" s="178">
        <v>976055.8</v>
      </c>
      <c r="F190" s="169">
        <v>568136.31000000006</v>
      </c>
      <c r="G190" s="165" t="s">
        <v>511</v>
      </c>
      <c r="H190" s="199">
        <v>976056</v>
      </c>
      <c r="I190" s="198">
        <v>975556</v>
      </c>
    </row>
    <row r="191" spans="2:9" x14ac:dyDescent="0.3">
      <c r="B191" s="166" t="s">
        <v>387</v>
      </c>
      <c r="C191" s="178">
        <v>276773.89</v>
      </c>
      <c r="D191" s="169">
        <v>164719.26</v>
      </c>
      <c r="E191" s="178">
        <v>276774.11</v>
      </c>
      <c r="F191" s="169">
        <v>164719.26</v>
      </c>
      <c r="G191" s="165" t="s">
        <v>512</v>
      </c>
      <c r="H191" s="199">
        <v>276774</v>
      </c>
      <c r="I191" s="198">
        <v>276774</v>
      </c>
    </row>
    <row r="192" spans="2:9" x14ac:dyDescent="0.3">
      <c r="B192" s="166" t="s">
        <v>388</v>
      </c>
      <c r="C192" s="178">
        <v>14754.34</v>
      </c>
      <c r="D192" s="168">
        <v>0</v>
      </c>
      <c r="E192" s="178">
        <v>14753.66</v>
      </c>
      <c r="F192" s="168">
        <v>0</v>
      </c>
      <c r="G192" s="165" t="s">
        <v>513</v>
      </c>
      <c r="H192" s="199">
        <v>14754</v>
      </c>
      <c r="I192" s="198">
        <v>14754</v>
      </c>
    </row>
    <row r="193" spans="2:9" x14ac:dyDescent="0.3">
      <c r="B193" s="166" t="s">
        <v>389</v>
      </c>
      <c r="C193" s="178">
        <v>7443888.9000000004</v>
      </c>
      <c r="D193" s="169">
        <v>1197726</v>
      </c>
      <c r="E193" s="178">
        <v>1858463.1</v>
      </c>
      <c r="F193" s="169">
        <v>1197726</v>
      </c>
      <c r="G193" s="165">
        <v>539.07000000000005</v>
      </c>
      <c r="H193" s="202">
        <v>4651176</v>
      </c>
      <c r="I193" s="202">
        <v>4651176</v>
      </c>
    </row>
    <row r="194" spans="2:9" x14ac:dyDescent="0.3">
      <c r="B194" s="166" t="s">
        <v>390</v>
      </c>
      <c r="C194" s="178">
        <v>88819.38</v>
      </c>
      <c r="D194" s="169">
        <v>158918.06</v>
      </c>
      <c r="E194" s="178">
        <v>97518.62</v>
      </c>
      <c r="F194" s="169">
        <v>158918.06</v>
      </c>
      <c r="G194" s="165">
        <v>539.08000000000004</v>
      </c>
      <c r="H194" s="202">
        <v>97519</v>
      </c>
      <c r="I194" s="202">
        <v>88819</v>
      </c>
    </row>
    <row r="195" spans="2:9" x14ac:dyDescent="0.3">
      <c r="B195" s="166" t="s">
        <v>391</v>
      </c>
      <c r="C195" s="168">
        <v>1197826.8499999999</v>
      </c>
      <c r="D195" s="169">
        <v>330</v>
      </c>
      <c r="E195" s="168">
        <v>1149491.1500000001</v>
      </c>
      <c r="F195" s="169">
        <v>330</v>
      </c>
      <c r="G195" s="165">
        <v>539.09</v>
      </c>
      <c r="H195" s="202">
        <v>1149491</v>
      </c>
      <c r="I195" s="202">
        <v>1197827</v>
      </c>
    </row>
    <row r="196" spans="2:9" x14ac:dyDescent="0.3">
      <c r="B196" s="166" t="s">
        <v>392</v>
      </c>
      <c r="C196" s="178">
        <v>199493.85</v>
      </c>
      <c r="D196" s="168">
        <v>0</v>
      </c>
      <c r="E196" s="178">
        <v>201154.15</v>
      </c>
      <c r="F196" s="168">
        <v>0</v>
      </c>
      <c r="G196" s="165" t="s">
        <v>514</v>
      </c>
      <c r="H196" s="199">
        <v>201154</v>
      </c>
      <c r="I196" s="198">
        <v>199494</v>
      </c>
    </row>
    <row r="197" spans="2:9" x14ac:dyDescent="0.3">
      <c r="B197" s="166" t="s">
        <v>393</v>
      </c>
      <c r="C197" s="178">
        <v>773333</v>
      </c>
      <c r="D197" s="169">
        <v>330</v>
      </c>
      <c r="E197" s="178">
        <v>723337</v>
      </c>
      <c r="F197" s="169">
        <v>330</v>
      </c>
      <c r="G197" s="165" t="s">
        <v>515</v>
      </c>
      <c r="H197" s="199">
        <v>723337</v>
      </c>
      <c r="I197" s="198">
        <v>773333</v>
      </c>
    </row>
    <row r="198" spans="2:9" x14ac:dyDescent="0.3">
      <c r="B198" s="166" t="s">
        <v>477</v>
      </c>
      <c r="C198" s="178">
        <v>225000</v>
      </c>
      <c r="D198" s="169">
        <v>0</v>
      </c>
      <c r="E198" s="178">
        <v>225000</v>
      </c>
      <c r="F198" s="169">
        <v>0</v>
      </c>
      <c r="G198" s="165" t="s">
        <v>516</v>
      </c>
      <c r="H198" s="199">
        <v>225000</v>
      </c>
      <c r="I198" s="198">
        <v>225000</v>
      </c>
    </row>
    <row r="199" spans="2:9" x14ac:dyDescent="0.3">
      <c r="B199" s="166" t="s">
        <v>394</v>
      </c>
      <c r="C199" s="178">
        <v>223039.3</v>
      </c>
      <c r="D199" s="169">
        <v>15000</v>
      </c>
      <c r="E199" s="178">
        <v>223038.7</v>
      </c>
      <c r="F199" s="169">
        <v>15000</v>
      </c>
      <c r="G199" s="165">
        <v>539.12</v>
      </c>
      <c r="H199" s="202">
        <v>223039</v>
      </c>
      <c r="I199" s="202">
        <v>223039</v>
      </c>
    </row>
    <row r="200" spans="2:9" x14ac:dyDescent="0.3">
      <c r="B200" s="166" t="s">
        <v>395</v>
      </c>
      <c r="C200" s="178">
        <v>637446.38</v>
      </c>
      <c r="D200" s="169">
        <v>405389.69</v>
      </c>
      <c r="E200" s="178">
        <v>567366.62</v>
      </c>
      <c r="F200" s="169">
        <v>405389.69</v>
      </c>
      <c r="G200" s="165">
        <v>539.99</v>
      </c>
      <c r="H200" s="202">
        <v>567367</v>
      </c>
      <c r="I200" s="202">
        <v>637446</v>
      </c>
    </row>
    <row r="201" spans="2:9" x14ac:dyDescent="0.3">
      <c r="B201" s="163" t="s">
        <v>396</v>
      </c>
      <c r="C201" s="164">
        <v>11238830.6</v>
      </c>
      <c r="D201" s="164">
        <v>9537107.4500000011</v>
      </c>
      <c r="E201" s="164">
        <v>11238831.4</v>
      </c>
      <c r="F201" s="164">
        <v>9537107.4500000011</v>
      </c>
      <c r="G201" s="165">
        <v>54</v>
      </c>
      <c r="H201" s="199">
        <v>11238831</v>
      </c>
      <c r="I201" s="198">
        <v>11238831</v>
      </c>
    </row>
    <row r="202" spans="2:9" x14ac:dyDescent="0.3">
      <c r="B202" s="166" t="s">
        <v>14</v>
      </c>
      <c r="C202" s="167">
        <v>10483738.709999999</v>
      </c>
      <c r="D202" s="167">
        <v>9324951.870000001</v>
      </c>
      <c r="E202" s="167">
        <v>10483739.290000001</v>
      </c>
      <c r="F202" s="167">
        <v>9324951.870000001</v>
      </c>
      <c r="G202" s="165">
        <v>541</v>
      </c>
      <c r="H202" s="199">
        <v>10483739</v>
      </c>
      <c r="I202" s="198">
        <v>10483739</v>
      </c>
    </row>
    <row r="203" spans="2:9" x14ac:dyDescent="0.3">
      <c r="B203" s="166" t="s">
        <v>397</v>
      </c>
      <c r="C203" s="178">
        <v>1191250</v>
      </c>
      <c r="D203" s="168">
        <v>0</v>
      </c>
      <c r="E203" s="178">
        <v>1191250</v>
      </c>
      <c r="F203" s="168">
        <v>0</v>
      </c>
      <c r="G203" s="165">
        <v>541.01</v>
      </c>
      <c r="H203" s="202">
        <v>1191250</v>
      </c>
      <c r="I203" s="202">
        <v>1191250</v>
      </c>
    </row>
    <row r="204" spans="2:9" x14ac:dyDescent="0.3">
      <c r="B204" s="166" t="s">
        <v>398</v>
      </c>
      <c r="C204" s="178">
        <v>111457.56</v>
      </c>
      <c r="D204" s="168">
        <v>0</v>
      </c>
      <c r="E204" s="178">
        <v>111458.44</v>
      </c>
      <c r="F204" s="168">
        <v>0</v>
      </c>
      <c r="G204" s="165">
        <v>541.04</v>
      </c>
      <c r="H204" s="202">
        <v>111458</v>
      </c>
      <c r="I204" s="202">
        <v>111458</v>
      </c>
    </row>
    <row r="205" spans="2:9" x14ac:dyDescent="0.3">
      <c r="B205" s="187" t="s">
        <v>399</v>
      </c>
      <c r="C205" s="190">
        <v>9181031.1500000004</v>
      </c>
      <c r="D205" s="178">
        <v>0</v>
      </c>
      <c r="E205" s="190">
        <v>9181030.8499999996</v>
      </c>
      <c r="F205" s="178">
        <v>0</v>
      </c>
      <c r="G205" s="165">
        <v>541.04999999999995</v>
      </c>
      <c r="H205" s="202">
        <v>9181031</v>
      </c>
      <c r="I205" s="202">
        <v>9181031</v>
      </c>
    </row>
    <row r="206" spans="2:9" x14ac:dyDescent="0.3">
      <c r="B206" s="166" t="s">
        <v>400</v>
      </c>
      <c r="C206" s="167">
        <v>176388.88999999998</v>
      </c>
      <c r="D206" s="167">
        <v>212155.58000000002</v>
      </c>
      <c r="E206" s="167">
        <v>160389.11000000002</v>
      </c>
      <c r="F206" s="167">
        <v>212155.58000000002</v>
      </c>
      <c r="G206" s="165">
        <v>543</v>
      </c>
      <c r="H206" s="199">
        <v>168389</v>
      </c>
      <c r="I206" s="198">
        <v>168389</v>
      </c>
    </row>
    <row r="207" spans="2:9" x14ac:dyDescent="0.3">
      <c r="B207" s="166" t="s">
        <v>401</v>
      </c>
      <c r="C207" s="178">
        <v>146639</v>
      </c>
      <c r="D207" s="168">
        <v>0</v>
      </c>
      <c r="E207" s="178">
        <v>146639</v>
      </c>
      <c r="F207" s="168">
        <v>0</v>
      </c>
      <c r="G207" s="165" t="s">
        <v>517</v>
      </c>
      <c r="H207" s="199">
        <v>146639</v>
      </c>
      <c r="I207" s="198">
        <v>146639</v>
      </c>
    </row>
    <row r="208" spans="2:9" x14ac:dyDescent="0.3">
      <c r="B208" s="166" t="s">
        <v>402</v>
      </c>
      <c r="C208" s="178">
        <v>13749.89</v>
      </c>
      <c r="D208" s="168">
        <v>0</v>
      </c>
      <c r="E208" s="178">
        <v>13750.11</v>
      </c>
      <c r="F208" s="168">
        <v>0</v>
      </c>
      <c r="G208" s="165" t="s">
        <v>518</v>
      </c>
      <c r="H208" s="199">
        <v>13750</v>
      </c>
      <c r="I208" s="198">
        <v>13750</v>
      </c>
    </row>
    <row r="209" spans="2:9" x14ac:dyDescent="0.3">
      <c r="B209" s="166" t="s">
        <v>64</v>
      </c>
      <c r="C209" s="167">
        <v>8000</v>
      </c>
      <c r="D209" s="167">
        <v>0</v>
      </c>
      <c r="E209" s="167">
        <v>8000</v>
      </c>
      <c r="F209" s="167">
        <v>0</v>
      </c>
      <c r="G209" s="165">
        <v>543.02</v>
      </c>
      <c r="H209" s="202">
        <v>8000</v>
      </c>
      <c r="I209" s="202">
        <v>8000</v>
      </c>
    </row>
    <row r="210" spans="2:9" x14ac:dyDescent="0.3">
      <c r="B210" s="166" t="s">
        <v>65</v>
      </c>
      <c r="C210" s="178">
        <v>8000</v>
      </c>
      <c r="D210" s="168">
        <v>0</v>
      </c>
      <c r="E210" s="178">
        <v>8000</v>
      </c>
      <c r="F210" s="168">
        <v>0</v>
      </c>
      <c r="G210" s="165" t="s">
        <v>519</v>
      </c>
      <c r="H210" s="199">
        <v>8000</v>
      </c>
      <c r="I210" s="198">
        <v>8000</v>
      </c>
    </row>
    <row r="211" spans="2:9" x14ac:dyDescent="0.3">
      <c r="B211" s="166" t="s">
        <v>15</v>
      </c>
      <c r="C211" s="167">
        <v>578253</v>
      </c>
      <c r="D211" s="167">
        <v>0</v>
      </c>
      <c r="E211" s="167">
        <v>578253</v>
      </c>
      <c r="F211" s="167">
        <v>0</v>
      </c>
      <c r="G211" s="165">
        <v>544</v>
      </c>
      <c r="H211" s="199">
        <v>578253</v>
      </c>
      <c r="I211" s="198">
        <v>578253</v>
      </c>
    </row>
    <row r="212" spans="2:9" x14ac:dyDescent="0.3">
      <c r="B212" s="166" t="s">
        <v>403</v>
      </c>
      <c r="C212" s="167">
        <v>578253</v>
      </c>
      <c r="D212" s="167">
        <v>0</v>
      </c>
      <c r="E212" s="167">
        <v>578253</v>
      </c>
      <c r="F212" s="167">
        <v>0</v>
      </c>
      <c r="G212" s="165">
        <v>544.02</v>
      </c>
      <c r="H212" s="202">
        <v>578253</v>
      </c>
      <c r="I212" s="202">
        <v>578253</v>
      </c>
    </row>
    <row r="213" spans="2:9" x14ac:dyDescent="0.3">
      <c r="B213" s="166" t="s">
        <v>404</v>
      </c>
      <c r="C213" s="178">
        <v>500000</v>
      </c>
      <c r="D213" s="168">
        <v>0</v>
      </c>
      <c r="E213" s="178">
        <v>500000</v>
      </c>
      <c r="F213" s="168">
        <v>0</v>
      </c>
      <c r="G213" s="165" t="s">
        <v>520</v>
      </c>
      <c r="H213" s="199">
        <v>500000</v>
      </c>
      <c r="I213" s="198">
        <v>500000</v>
      </c>
    </row>
    <row r="214" spans="2:9" x14ac:dyDescent="0.3">
      <c r="B214" s="166" t="s">
        <v>405</v>
      </c>
      <c r="C214" s="178">
        <v>78253</v>
      </c>
      <c r="D214" s="168">
        <v>0</v>
      </c>
      <c r="E214" s="178">
        <v>78253</v>
      </c>
      <c r="F214" s="168">
        <v>0</v>
      </c>
      <c r="G214" s="165" t="s">
        <v>521</v>
      </c>
      <c r="H214" s="199">
        <v>78253</v>
      </c>
      <c r="I214" s="198">
        <v>78253</v>
      </c>
    </row>
    <row r="215" spans="2:9" x14ac:dyDescent="0.3">
      <c r="B215" s="166" t="s">
        <v>16</v>
      </c>
      <c r="C215" s="167">
        <v>8450</v>
      </c>
      <c r="D215" s="167">
        <v>0</v>
      </c>
      <c r="E215" s="167">
        <v>8450</v>
      </c>
      <c r="F215" s="167">
        <v>0</v>
      </c>
      <c r="G215" s="165">
        <v>549</v>
      </c>
      <c r="H215" s="199">
        <v>8450</v>
      </c>
      <c r="I215" s="198">
        <v>8450</v>
      </c>
    </row>
    <row r="216" spans="2:9" x14ac:dyDescent="0.3">
      <c r="B216" s="166" t="s">
        <v>406</v>
      </c>
      <c r="C216" s="178">
        <v>8450</v>
      </c>
      <c r="D216" s="168">
        <v>0</v>
      </c>
      <c r="E216" s="178">
        <v>8450</v>
      </c>
      <c r="F216" s="168">
        <v>0</v>
      </c>
      <c r="G216" s="165">
        <v>549.99</v>
      </c>
      <c r="H216" s="202">
        <v>8450</v>
      </c>
      <c r="I216" s="202">
        <v>8450</v>
      </c>
    </row>
    <row r="217" spans="2:9" x14ac:dyDescent="0.3">
      <c r="B217" s="163" t="s">
        <v>448</v>
      </c>
      <c r="C217" s="164">
        <v>15837.67</v>
      </c>
      <c r="D217" s="164">
        <v>12000</v>
      </c>
      <c r="E217" s="164">
        <v>15836.33</v>
      </c>
      <c r="F217" s="164">
        <v>12000</v>
      </c>
      <c r="G217" s="165">
        <v>56</v>
      </c>
      <c r="H217" s="199">
        <v>15838</v>
      </c>
      <c r="I217" s="198">
        <v>15836</v>
      </c>
    </row>
    <row r="218" spans="2:9" x14ac:dyDescent="0.3">
      <c r="B218" s="166" t="s">
        <v>407</v>
      </c>
      <c r="C218" s="178">
        <v>15837.67</v>
      </c>
      <c r="D218" s="168">
        <v>12000</v>
      </c>
      <c r="E218" s="178">
        <v>15836.33</v>
      </c>
      <c r="F218" s="168">
        <v>12000</v>
      </c>
      <c r="G218" s="165">
        <v>561.01</v>
      </c>
      <c r="H218" s="202">
        <v>15838</v>
      </c>
      <c r="I218" s="202">
        <v>15836</v>
      </c>
    </row>
    <row r="219" spans="2:9" x14ac:dyDescent="0.3">
      <c r="B219" s="163" t="s">
        <v>408</v>
      </c>
      <c r="C219" s="164">
        <v>231938305.10999998</v>
      </c>
      <c r="D219" s="164">
        <v>199279629.09</v>
      </c>
      <c r="E219" s="164">
        <v>236145114.89000002</v>
      </c>
      <c r="F219" s="164">
        <v>199279629.09</v>
      </c>
      <c r="G219" s="201">
        <v>5</v>
      </c>
      <c r="H219" s="199">
        <v>236141142</v>
      </c>
      <c r="I219" s="198">
        <v>231942278</v>
      </c>
    </row>
    <row r="220" spans="2:9" x14ac:dyDescent="0.3">
      <c r="B220" s="163" t="s">
        <v>17</v>
      </c>
      <c r="C220" s="191">
        <v>42410903.340000004</v>
      </c>
      <c r="D220" s="191">
        <f>D51-D219</f>
        <v>-199279629.09</v>
      </c>
      <c r="E220" s="191">
        <v>42410903.340000004</v>
      </c>
      <c r="F220" s="191">
        <f>F51-F219</f>
        <v>-199279629.09</v>
      </c>
      <c r="G220" s="161" t="s">
        <v>522</v>
      </c>
    </row>
    <row r="221" spans="2:9" x14ac:dyDescent="0.3">
      <c r="B221" s="192"/>
      <c r="C221" s="173"/>
      <c r="D221" s="173"/>
      <c r="E221" s="173"/>
      <c r="F221" s="173"/>
    </row>
    <row r="222" spans="2:9" x14ac:dyDescent="0.3">
      <c r="B222" s="193"/>
      <c r="C222" s="175"/>
      <c r="D222" s="175"/>
      <c r="E222" s="175"/>
      <c r="F222" s="175"/>
    </row>
    <row r="223" spans="2:9" x14ac:dyDescent="0.3">
      <c r="B223" s="193"/>
      <c r="C223" s="175"/>
      <c r="D223" s="175"/>
      <c r="E223" s="175"/>
      <c r="F223" s="175"/>
    </row>
    <row r="224" spans="2:9" x14ac:dyDescent="0.3">
      <c r="B224" s="193"/>
      <c r="C224" s="175"/>
      <c r="D224" s="175"/>
      <c r="E224" s="175"/>
      <c r="F224" s="175"/>
    </row>
    <row r="225" spans="2:6" x14ac:dyDescent="0.3">
      <c r="B225" s="193"/>
      <c r="C225" s="175"/>
      <c r="D225" s="175"/>
      <c r="E225" s="175"/>
      <c r="F225" s="184">
        <v>19</v>
      </c>
    </row>
    <row r="226" spans="2:6" x14ac:dyDescent="0.3">
      <c r="B226" s="193"/>
      <c r="C226" s="175"/>
      <c r="D226" s="175"/>
      <c r="E226" s="175"/>
      <c r="F226" s="175"/>
    </row>
  </sheetData>
  <mergeCells count="25">
    <mergeCell ref="B171:F171"/>
    <mergeCell ref="B172:F172"/>
    <mergeCell ref="B173:F173"/>
    <mergeCell ref="B174:F174"/>
    <mergeCell ref="C175:D175"/>
    <mergeCell ref="E175:F175"/>
    <mergeCell ref="B114:F114"/>
    <mergeCell ref="B115:F115"/>
    <mergeCell ref="B116:F116"/>
    <mergeCell ref="B117:F117"/>
    <mergeCell ref="C118:D118"/>
    <mergeCell ref="E118:F118"/>
    <mergeCell ref="B57:F57"/>
    <mergeCell ref="B58:F58"/>
    <mergeCell ref="B59:F59"/>
    <mergeCell ref="B60:F60"/>
    <mergeCell ref="C61:D61"/>
    <mergeCell ref="E61:F61"/>
    <mergeCell ref="B1:F1"/>
    <mergeCell ref="B2:F2"/>
    <mergeCell ref="B3:F3"/>
    <mergeCell ref="B4:F4"/>
    <mergeCell ref="B5:B6"/>
    <mergeCell ref="C5:D5"/>
    <mergeCell ref="E5:F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4"/>
  <dimension ref="A1:AR222"/>
  <sheetViews>
    <sheetView view="pageLayout" zoomScaleNormal="100" workbookViewId="0">
      <selection activeCell="A6" sqref="A6"/>
    </sheetView>
  </sheetViews>
  <sheetFormatPr baseColWidth="10" defaultColWidth="11" defaultRowHeight="8.25" x14ac:dyDescent="0.15"/>
  <cols>
    <col min="1" max="1" width="21.85546875" style="34" bestFit="1" customWidth="1"/>
    <col min="2" max="2" width="16.7109375" style="39" customWidth="1"/>
    <col min="3" max="3" width="14.42578125" style="113" customWidth="1"/>
    <col min="4" max="5" width="13.5703125" style="113" customWidth="1"/>
    <col min="6" max="6" width="15.5703125" style="39" customWidth="1"/>
    <col min="7" max="7" width="16.28515625" style="39" bestFit="1" customWidth="1"/>
    <col min="8" max="8" width="12.7109375" style="113" customWidth="1"/>
    <col min="9" max="9" width="15.28515625" style="113" customWidth="1"/>
    <col min="10" max="10" width="11.85546875" style="113" customWidth="1"/>
    <col min="11" max="11" width="14.42578125" style="113" customWidth="1"/>
    <col min="12" max="12" width="15.140625" style="39" customWidth="1"/>
    <col min="13" max="13" width="14.28515625" style="39" customWidth="1"/>
    <col min="14" max="14" width="14.5703125" style="39" customWidth="1"/>
    <col min="15" max="15" width="18.28515625" style="114" customWidth="1"/>
    <col min="16" max="16" width="17" style="116" customWidth="1"/>
    <col min="17" max="17" width="17.140625" style="39" customWidth="1"/>
    <col min="18" max="18" width="13" style="34" hidden="1" customWidth="1"/>
    <col min="19" max="19" width="10.5703125" style="34" hidden="1" customWidth="1"/>
    <col min="20" max="41" width="11" style="34" hidden="1" customWidth="1"/>
    <col min="42" max="42" width="0.140625" style="34" customWidth="1"/>
    <col min="43" max="43" width="17.7109375" style="34" customWidth="1"/>
    <col min="44" max="80" width="11" style="34" customWidth="1"/>
    <col min="81" max="81" width="0" style="34" hidden="1" customWidth="1"/>
    <col min="82" max="223" width="11" style="34" customWidth="1"/>
    <col min="224" max="256" width="11" style="34"/>
    <col min="257" max="257" width="19.7109375" style="34" customWidth="1"/>
    <col min="258" max="258" width="12" style="34" bestFit="1" customWidth="1"/>
    <col min="259" max="259" width="10.28515625" style="34" bestFit="1" customWidth="1"/>
    <col min="260" max="260" width="9.7109375" style="34" bestFit="1" customWidth="1"/>
    <col min="261" max="261" width="11.140625" style="34" bestFit="1" customWidth="1"/>
    <col min="262" max="262" width="11.28515625" style="34" bestFit="1" customWidth="1"/>
    <col min="263" max="263" width="12" style="34" bestFit="1" customWidth="1"/>
    <col min="264" max="264" width="9.42578125" style="34" bestFit="1" customWidth="1"/>
    <col min="265" max="265" width="11.28515625" style="34" bestFit="1" customWidth="1"/>
    <col min="266" max="266" width="9.140625" style="34" bestFit="1" customWidth="1"/>
    <col min="267" max="268" width="10.42578125" style="34" bestFit="1" customWidth="1"/>
    <col min="269" max="269" width="11.5703125" style="34" bestFit="1" customWidth="1"/>
    <col min="270" max="270" width="11" style="34" bestFit="1" customWidth="1"/>
    <col min="271" max="271" width="11.42578125" style="34" bestFit="1" customWidth="1"/>
    <col min="272" max="272" width="12.5703125" style="34" bestFit="1" customWidth="1"/>
    <col min="273" max="273" width="12" style="34" bestFit="1" customWidth="1"/>
    <col min="274" max="298" width="0" style="34" hidden="1" customWidth="1"/>
    <col min="299" max="299" width="17.7109375" style="34" customWidth="1"/>
    <col min="300" max="336" width="11" style="34" customWidth="1"/>
    <col min="337" max="337" width="0" style="34" hidden="1" customWidth="1"/>
    <col min="338" max="479" width="11" style="34" customWidth="1"/>
    <col min="480" max="512" width="11" style="34"/>
    <col min="513" max="513" width="19.7109375" style="34" customWidth="1"/>
    <col min="514" max="514" width="12" style="34" bestFit="1" customWidth="1"/>
    <col min="515" max="515" width="10.28515625" style="34" bestFit="1" customWidth="1"/>
    <col min="516" max="516" width="9.7109375" style="34" bestFit="1" customWidth="1"/>
    <col min="517" max="517" width="11.140625" style="34" bestFit="1" customWidth="1"/>
    <col min="518" max="518" width="11.28515625" style="34" bestFit="1" customWidth="1"/>
    <col min="519" max="519" width="12" style="34" bestFit="1" customWidth="1"/>
    <col min="520" max="520" width="9.42578125" style="34" bestFit="1" customWidth="1"/>
    <col min="521" max="521" width="11.28515625" style="34" bestFit="1" customWidth="1"/>
    <col min="522" max="522" width="9.140625" style="34" bestFit="1" customWidth="1"/>
    <col min="523" max="524" width="10.42578125" style="34" bestFit="1" customWidth="1"/>
    <col min="525" max="525" width="11.5703125" style="34" bestFit="1" customWidth="1"/>
    <col min="526" max="526" width="11" style="34" bestFit="1" customWidth="1"/>
    <col min="527" max="527" width="11.42578125" style="34" bestFit="1" customWidth="1"/>
    <col min="528" max="528" width="12.5703125" style="34" bestFit="1" customWidth="1"/>
    <col min="529" max="529" width="12" style="34" bestFit="1" customWidth="1"/>
    <col min="530" max="554" width="0" style="34" hidden="1" customWidth="1"/>
    <col min="555" max="555" width="17.7109375" style="34" customWidth="1"/>
    <col min="556" max="592" width="11" style="34" customWidth="1"/>
    <col min="593" max="593" width="0" style="34" hidden="1" customWidth="1"/>
    <col min="594" max="735" width="11" style="34" customWidth="1"/>
    <col min="736" max="768" width="11" style="34"/>
    <col min="769" max="769" width="19.7109375" style="34" customWidth="1"/>
    <col min="770" max="770" width="12" style="34" bestFit="1" customWidth="1"/>
    <col min="771" max="771" width="10.28515625" style="34" bestFit="1" customWidth="1"/>
    <col min="772" max="772" width="9.7109375" style="34" bestFit="1" customWidth="1"/>
    <col min="773" max="773" width="11.140625" style="34" bestFit="1" customWidth="1"/>
    <col min="774" max="774" width="11.28515625" style="34" bestFit="1" customWidth="1"/>
    <col min="775" max="775" width="12" style="34" bestFit="1" customWidth="1"/>
    <col min="776" max="776" width="9.42578125" style="34" bestFit="1" customWidth="1"/>
    <col min="777" max="777" width="11.28515625" style="34" bestFit="1" customWidth="1"/>
    <col min="778" max="778" width="9.140625" style="34" bestFit="1" customWidth="1"/>
    <col min="779" max="780" width="10.42578125" style="34" bestFit="1" customWidth="1"/>
    <col min="781" max="781" width="11.5703125" style="34" bestFit="1" customWidth="1"/>
    <col min="782" max="782" width="11" style="34" bestFit="1" customWidth="1"/>
    <col min="783" max="783" width="11.42578125" style="34" bestFit="1" customWidth="1"/>
    <col min="784" max="784" width="12.5703125" style="34" bestFit="1" customWidth="1"/>
    <col min="785" max="785" width="12" style="34" bestFit="1" customWidth="1"/>
    <col min="786" max="810" width="0" style="34" hidden="1" customWidth="1"/>
    <col min="811" max="811" width="17.7109375" style="34" customWidth="1"/>
    <col min="812" max="848" width="11" style="34" customWidth="1"/>
    <col min="849" max="849" width="0" style="34" hidden="1" customWidth="1"/>
    <col min="850" max="991" width="11" style="34" customWidth="1"/>
    <col min="992" max="1024" width="11" style="34"/>
    <col min="1025" max="1025" width="19.7109375" style="34" customWidth="1"/>
    <col min="1026" max="1026" width="12" style="34" bestFit="1" customWidth="1"/>
    <col min="1027" max="1027" width="10.28515625" style="34" bestFit="1" customWidth="1"/>
    <col min="1028" max="1028" width="9.7109375" style="34" bestFit="1" customWidth="1"/>
    <col min="1029" max="1029" width="11.140625" style="34" bestFit="1" customWidth="1"/>
    <col min="1030" max="1030" width="11.28515625" style="34" bestFit="1" customWidth="1"/>
    <col min="1031" max="1031" width="12" style="34" bestFit="1" customWidth="1"/>
    <col min="1032" max="1032" width="9.42578125" style="34" bestFit="1" customWidth="1"/>
    <col min="1033" max="1033" width="11.28515625" style="34" bestFit="1" customWidth="1"/>
    <col min="1034" max="1034" width="9.140625" style="34" bestFit="1" customWidth="1"/>
    <col min="1035" max="1036" width="10.42578125" style="34" bestFit="1" customWidth="1"/>
    <col min="1037" max="1037" width="11.5703125" style="34" bestFit="1" customWidth="1"/>
    <col min="1038" max="1038" width="11" style="34" bestFit="1" customWidth="1"/>
    <col min="1039" max="1039" width="11.42578125" style="34" bestFit="1" customWidth="1"/>
    <col min="1040" max="1040" width="12.5703125" style="34" bestFit="1" customWidth="1"/>
    <col min="1041" max="1041" width="12" style="34" bestFit="1" customWidth="1"/>
    <col min="1042" max="1066" width="0" style="34" hidden="1" customWidth="1"/>
    <col min="1067" max="1067" width="17.7109375" style="34" customWidth="1"/>
    <col min="1068" max="1104" width="11" style="34" customWidth="1"/>
    <col min="1105" max="1105" width="0" style="34" hidden="1" customWidth="1"/>
    <col min="1106" max="1247" width="11" style="34" customWidth="1"/>
    <col min="1248" max="1280" width="11" style="34"/>
    <col min="1281" max="1281" width="19.7109375" style="34" customWidth="1"/>
    <col min="1282" max="1282" width="12" style="34" bestFit="1" customWidth="1"/>
    <col min="1283" max="1283" width="10.28515625" style="34" bestFit="1" customWidth="1"/>
    <col min="1284" max="1284" width="9.7109375" style="34" bestFit="1" customWidth="1"/>
    <col min="1285" max="1285" width="11.140625" style="34" bestFit="1" customWidth="1"/>
    <col min="1286" max="1286" width="11.28515625" style="34" bestFit="1" customWidth="1"/>
    <col min="1287" max="1287" width="12" style="34" bestFit="1" customWidth="1"/>
    <col min="1288" max="1288" width="9.42578125" style="34" bestFit="1" customWidth="1"/>
    <col min="1289" max="1289" width="11.28515625" style="34" bestFit="1" customWidth="1"/>
    <col min="1290" max="1290" width="9.140625" style="34" bestFit="1" customWidth="1"/>
    <col min="1291" max="1292" width="10.42578125" style="34" bestFit="1" customWidth="1"/>
    <col min="1293" max="1293" width="11.5703125" style="34" bestFit="1" customWidth="1"/>
    <col min="1294" max="1294" width="11" style="34" bestFit="1" customWidth="1"/>
    <col min="1295" max="1295" width="11.42578125" style="34" bestFit="1" customWidth="1"/>
    <col min="1296" max="1296" width="12.5703125" style="34" bestFit="1" customWidth="1"/>
    <col min="1297" max="1297" width="12" style="34" bestFit="1" customWidth="1"/>
    <col min="1298" max="1322" width="0" style="34" hidden="1" customWidth="1"/>
    <col min="1323" max="1323" width="17.7109375" style="34" customWidth="1"/>
    <col min="1324" max="1360" width="11" style="34" customWidth="1"/>
    <col min="1361" max="1361" width="0" style="34" hidden="1" customWidth="1"/>
    <col min="1362" max="1503" width="11" style="34" customWidth="1"/>
    <col min="1504" max="1536" width="11" style="34"/>
    <col min="1537" max="1537" width="19.7109375" style="34" customWidth="1"/>
    <col min="1538" max="1538" width="12" style="34" bestFit="1" customWidth="1"/>
    <col min="1539" max="1539" width="10.28515625" style="34" bestFit="1" customWidth="1"/>
    <col min="1540" max="1540" width="9.7109375" style="34" bestFit="1" customWidth="1"/>
    <col min="1541" max="1541" width="11.140625" style="34" bestFit="1" customWidth="1"/>
    <col min="1542" max="1542" width="11.28515625" style="34" bestFit="1" customWidth="1"/>
    <col min="1543" max="1543" width="12" style="34" bestFit="1" customWidth="1"/>
    <col min="1544" max="1544" width="9.42578125" style="34" bestFit="1" customWidth="1"/>
    <col min="1545" max="1545" width="11.28515625" style="34" bestFit="1" customWidth="1"/>
    <col min="1546" max="1546" width="9.140625" style="34" bestFit="1" customWidth="1"/>
    <col min="1547" max="1548" width="10.42578125" style="34" bestFit="1" customWidth="1"/>
    <col min="1549" max="1549" width="11.5703125" style="34" bestFit="1" customWidth="1"/>
    <col min="1550" max="1550" width="11" style="34" bestFit="1" customWidth="1"/>
    <col min="1551" max="1551" width="11.42578125" style="34" bestFit="1" customWidth="1"/>
    <col min="1552" max="1552" width="12.5703125" style="34" bestFit="1" customWidth="1"/>
    <col min="1553" max="1553" width="12" style="34" bestFit="1" customWidth="1"/>
    <col min="1554" max="1578" width="0" style="34" hidden="1" customWidth="1"/>
    <col min="1579" max="1579" width="17.7109375" style="34" customWidth="1"/>
    <col min="1580" max="1616" width="11" style="34" customWidth="1"/>
    <col min="1617" max="1617" width="0" style="34" hidden="1" customWidth="1"/>
    <col min="1618" max="1759" width="11" style="34" customWidth="1"/>
    <col min="1760" max="1792" width="11" style="34"/>
    <col min="1793" max="1793" width="19.7109375" style="34" customWidth="1"/>
    <col min="1794" max="1794" width="12" style="34" bestFit="1" customWidth="1"/>
    <col min="1795" max="1795" width="10.28515625" style="34" bestFit="1" customWidth="1"/>
    <col min="1796" max="1796" width="9.7109375" style="34" bestFit="1" customWidth="1"/>
    <col min="1797" max="1797" width="11.140625" style="34" bestFit="1" customWidth="1"/>
    <col min="1798" max="1798" width="11.28515625" style="34" bestFit="1" customWidth="1"/>
    <col min="1799" max="1799" width="12" style="34" bestFit="1" customWidth="1"/>
    <col min="1800" max="1800" width="9.42578125" style="34" bestFit="1" customWidth="1"/>
    <col min="1801" max="1801" width="11.28515625" style="34" bestFit="1" customWidth="1"/>
    <col min="1802" max="1802" width="9.140625" style="34" bestFit="1" customWidth="1"/>
    <col min="1803" max="1804" width="10.42578125" style="34" bestFit="1" customWidth="1"/>
    <col min="1805" max="1805" width="11.5703125" style="34" bestFit="1" customWidth="1"/>
    <col min="1806" max="1806" width="11" style="34" bestFit="1" customWidth="1"/>
    <col min="1807" max="1807" width="11.42578125" style="34" bestFit="1" customWidth="1"/>
    <col min="1808" max="1808" width="12.5703125" style="34" bestFit="1" customWidth="1"/>
    <col min="1809" max="1809" width="12" style="34" bestFit="1" customWidth="1"/>
    <col min="1810" max="1834" width="0" style="34" hidden="1" customWidth="1"/>
    <col min="1835" max="1835" width="17.7109375" style="34" customWidth="1"/>
    <col min="1836" max="1872" width="11" style="34" customWidth="1"/>
    <col min="1873" max="1873" width="0" style="34" hidden="1" customWidth="1"/>
    <col min="1874" max="2015" width="11" style="34" customWidth="1"/>
    <col min="2016" max="2048" width="11" style="34"/>
    <col min="2049" max="2049" width="19.7109375" style="34" customWidth="1"/>
    <col min="2050" max="2050" width="12" style="34" bestFit="1" customWidth="1"/>
    <col min="2051" max="2051" width="10.28515625" style="34" bestFit="1" customWidth="1"/>
    <col min="2052" max="2052" width="9.7109375" style="34" bestFit="1" customWidth="1"/>
    <col min="2053" max="2053" width="11.140625" style="34" bestFit="1" customWidth="1"/>
    <col min="2054" max="2054" width="11.28515625" style="34" bestFit="1" customWidth="1"/>
    <col min="2055" max="2055" width="12" style="34" bestFit="1" customWidth="1"/>
    <col min="2056" max="2056" width="9.42578125" style="34" bestFit="1" customWidth="1"/>
    <col min="2057" max="2057" width="11.28515625" style="34" bestFit="1" customWidth="1"/>
    <col min="2058" max="2058" width="9.140625" style="34" bestFit="1" customWidth="1"/>
    <col min="2059" max="2060" width="10.42578125" style="34" bestFit="1" customWidth="1"/>
    <col min="2061" max="2061" width="11.5703125" style="34" bestFit="1" customWidth="1"/>
    <col min="2062" max="2062" width="11" style="34" bestFit="1" customWidth="1"/>
    <col min="2063" max="2063" width="11.42578125" style="34" bestFit="1" customWidth="1"/>
    <col min="2064" max="2064" width="12.5703125" style="34" bestFit="1" customWidth="1"/>
    <col min="2065" max="2065" width="12" style="34" bestFit="1" customWidth="1"/>
    <col min="2066" max="2090" width="0" style="34" hidden="1" customWidth="1"/>
    <col min="2091" max="2091" width="17.7109375" style="34" customWidth="1"/>
    <col min="2092" max="2128" width="11" style="34" customWidth="1"/>
    <col min="2129" max="2129" width="0" style="34" hidden="1" customWidth="1"/>
    <col min="2130" max="2271" width="11" style="34" customWidth="1"/>
    <col min="2272" max="2304" width="11" style="34"/>
    <col min="2305" max="2305" width="19.7109375" style="34" customWidth="1"/>
    <col min="2306" max="2306" width="12" style="34" bestFit="1" customWidth="1"/>
    <col min="2307" max="2307" width="10.28515625" style="34" bestFit="1" customWidth="1"/>
    <col min="2308" max="2308" width="9.7109375" style="34" bestFit="1" customWidth="1"/>
    <col min="2309" max="2309" width="11.140625" style="34" bestFit="1" customWidth="1"/>
    <col min="2310" max="2310" width="11.28515625" style="34" bestFit="1" customWidth="1"/>
    <col min="2311" max="2311" width="12" style="34" bestFit="1" customWidth="1"/>
    <col min="2312" max="2312" width="9.42578125" style="34" bestFit="1" customWidth="1"/>
    <col min="2313" max="2313" width="11.28515625" style="34" bestFit="1" customWidth="1"/>
    <col min="2314" max="2314" width="9.140625" style="34" bestFit="1" customWidth="1"/>
    <col min="2315" max="2316" width="10.42578125" style="34" bestFit="1" customWidth="1"/>
    <col min="2317" max="2317" width="11.5703125" style="34" bestFit="1" customWidth="1"/>
    <col min="2318" max="2318" width="11" style="34" bestFit="1" customWidth="1"/>
    <col min="2319" max="2319" width="11.42578125" style="34" bestFit="1" customWidth="1"/>
    <col min="2320" max="2320" width="12.5703125" style="34" bestFit="1" customWidth="1"/>
    <col min="2321" max="2321" width="12" style="34" bestFit="1" customWidth="1"/>
    <col min="2322" max="2346" width="0" style="34" hidden="1" customWidth="1"/>
    <col min="2347" max="2347" width="17.7109375" style="34" customWidth="1"/>
    <col min="2348" max="2384" width="11" style="34" customWidth="1"/>
    <col min="2385" max="2385" width="0" style="34" hidden="1" customWidth="1"/>
    <col min="2386" max="2527" width="11" style="34" customWidth="1"/>
    <col min="2528" max="2560" width="11" style="34"/>
    <col min="2561" max="2561" width="19.7109375" style="34" customWidth="1"/>
    <col min="2562" max="2562" width="12" style="34" bestFit="1" customWidth="1"/>
    <col min="2563" max="2563" width="10.28515625" style="34" bestFit="1" customWidth="1"/>
    <col min="2564" max="2564" width="9.7109375" style="34" bestFit="1" customWidth="1"/>
    <col min="2565" max="2565" width="11.140625" style="34" bestFit="1" customWidth="1"/>
    <col min="2566" max="2566" width="11.28515625" style="34" bestFit="1" customWidth="1"/>
    <col min="2567" max="2567" width="12" style="34" bestFit="1" customWidth="1"/>
    <col min="2568" max="2568" width="9.42578125" style="34" bestFit="1" customWidth="1"/>
    <col min="2569" max="2569" width="11.28515625" style="34" bestFit="1" customWidth="1"/>
    <col min="2570" max="2570" width="9.140625" style="34" bestFit="1" customWidth="1"/>
    <col min="2571" max="2572" width="10.42578125" style="34" bestFit="1" customWidth="1"/>
    <col min="2573" max="2573" width="11.5703125" style="34" bestFit="1" customWidth="1"/>
    <col min="2574" max="2574" width="11" style="34" bestFit="1" customWidth="1"/>
    <col min="2575" max="2575" width="11.42578125" style="34" bestFit="1" customWidth="1"/>
    <col min="2576" max="2576" width="12.5703125" style="34" bestFit="1" customWidth="1"/>
    <col min="2577" max="2577" width="12" style="34" bestFit="1" customWidth="1"/>
    <col min="2578" max="2602" width="0" style="34" hidden="1" customWidth="1"/>
    <col min="2603" max="2603" width="17.7109375" style="34" customWidth="1"/>
    <col min="2604" max="2640" width="11" style="34" customWidth="1"/>
    <col min="2641" max="2641" width="0" style="34" hidden="1" customWidth="1"/>
    <col min="2642" max="2783" width="11" style="34" customWidth="1"/>
    <col min="2784" max="2816" width="11" style="34"/>
    <col min="2817" max="2817" width="19.7109375" style="34" customWidth="1"/>
    <col min="2818" max="2818" width="12" style="34" bestFit="1" customWidth="1"/>
    <col min="2819" max="2819" width="10.28515625" style="34" bestFit="1" customWidth="1"/>
    <col min="2820" max="2820" width="9.7109375" style="34" bestFit="1" customWidth="1"/>
    <col min="2821" max="2821" width="11.140625" style="34" bestFit="1" customWidth="1"/>
    <col min="2822" max="2822" width="11.28515625" style="34" bestFit="1" customWidth="1"/>
    <col min="2823" max="2823" width="12" style="34" bestFit="1" customWidth="1"/>
    <col min="2824" max="2824" width="9.42578125" style="34" bestFit="1" customWidth="1"/>
    <col min="2825" max="2825" width="11.28515625" style="34" bestFit="1" customWidth="1"/>
    <col min="2826" max="2826" width="9.140625" style="34" bestFit="1" customWidth="1"/>
    <col min="2827" max="2828" width="10.42578125" style="34" bestFit="1" customWidth="1"/>
    <col min="2829" max="2829" width="11.5703125" style="34" bestFit="1" customWidth="1"/>
    <col min="2830" max="2830" width="11" style="34" bestFit="1" customWidth="1"/>
    <col min="2831" max="2831" width="11.42578125" style="34" bestFit="1" customWidth="1"/>
    <col min="2832" max="2832" width="12.5703125" style="34" bestFit="1" customWidth="1"/>
    <col min="2833" max="2833" width="12" style="34" bestFit="1" customWidth="1"/>
    <col min="2834" max="2858" width="0" style="34" hidden="1" customWidth="1"/>
    <col min="2859" max="2859" width="17.7109375" style="34" customWidth="1"/>
    <col min="2860" max="2896" width="11" style="34" customWidth="1"/>
    <col min="2897" max="2897" width="0" style="34" hidden="1" customWidth="1"/>
    <col min="2898" max="3039" width="11" style="34" customWidth="1"/>
    <col min="3040" max="3072" width="11" style="34"/>
    <col min="3073" max="3073" width="19.7109375" style="34" customWidth="1"/>
    <col min="3074" max="3074" width="12" style="34" bestFit="1" customWidth="1"/>
    <col min="3075" max="3075" width="10.28515625" style="34" bestFit="1" customWidth="1"/>
    <col min="3076" max="3076" width="9.7109375" style="34" bestFit="1" customWidth="1"/>
    <col min="3077" max="3077" width="11.140625" style="34" bestFit="1" customWidth="1"/>
    <col min="3078" max="3078" width="11.28515625" style="34" bestFit="1" customWidth="1"/>
    <col min="3079" max="3079" width="12" style="34" bestFit="1" customWidth="1"/>
    <col min="3080" max="3080" width="9.42578125" style="34" bestFit="1" customWidth="1"/>
    <col min="3081" max="3081" width="11.28515625" style="34" bestFit="1" customWidth="1"/>
    <col min="3082" max="3082" width="9.140625" style="34" bestFit="1" customWidth="1"/>
    <col min="3083" max="3084" width="10.42578125" style="34" bestFit="1" customWidth="1"/>
    <col min="3085" max="3085" width="11.5703125" style="34" bestFit="1" customWidth="1"/>
    <col min="3086" max="3086" width="11" style="34" bestFit="1" customWidth="1"/>
    <col min="3087" max="3087" width="11.42578125" style="34" bestFit="1" customWidth="1"/>
    <col min="3088" max="3088" width="12.5703125" style="34" bestFit="1" customWidth="1"/>
    <col min="3089" max="3089" width="12" style="34" bestFit="1" customWidth="1"/>
    <col min="3090" max="3114" width="0" style="34" hidden="1" customWidth="1"/>
    <col min="3115" max="3115" width="17.7109375" style="34" customWidth="1"/>
    <col min="3116" max="3152" width="11" style="34" customWidth="1"/>
    <col min="3153" max="3153" width="0" style="34" hidden="1" customWidth="1"/>
    <col min="3154" max="3295" width="11" style="34" customWidth="1"/>
    <col min="3296" max="3328" width="11" style="34"/>
    <col min="3329" max="3329" width="19.7109375" style="34" customWidth="1"/>
    <col min="3330" max="3330" width="12" style="34" bestFit="1" customWidth="1"/>
    <col min="3331" max="3331" width="10.28515625" style="34" bestFit="1" customWidth="1"/>
    <col min="3332" max="3332" width="9.7109375" style="34" bestFit="1" customWidth="1"/>
    <col min="3333" max="3333" width="11.140625" style="34" bestFit="1" customWidth="1"/>
    <col min="3334" max="3334" width="11.28515625" style="34" bestFit="1" customWidth="1"/>
    <col min="3335" max="3335" width="12" style="34" bestFit="1" customWidth="1"/>
    <col min="3336" max="3336" width="9.42578125" style="34" bestFit="1" customWidth="1"/>
    <col min="3337" max="3337" width="11.28515625" style="34" bestFit="1" customWidth="1"/>
    <col min="3338" max="3338" width="9.140625" style="34" bestFit="1" customWidth="1"/>
    <col min="3339" max="3340" width="10.42578125" style="34" bestFit="1" customWidth="1"/>
    <col min="3341" max="3341" width="11.5703125" style="34" bestFit="1" customWidth="1"/>
    <col min="3342" max="3342" width="11" style="34" bestFit="1" customWidth="1"/>
    <col min="3343" max="3343" width="11.42578125" style="34" bestFit="1" customWidth="1"/>
    <col min="3344" max="3344" width="12.5703125" style="34" bestFit="1" customWidth="1"/>
    <col min="3345" max="3345" width="12" style="34" bestFit="1" customWidth="1"/>
    <col min="3346" max="3370" width="0" style="34" hidden="1" customWidth="1"/>
    <col min="3371" max="3371" width="17.7109375" style="34" customWidth="1"/>
    <col min="3372" max="3408" width="11" style="34" customWidth="1"/>
    <col min="3409" max="3409" width="0" style="34" hidden="1" customWidth="1"/>
    <col min="3410" max="3551" width="11" style="34" customWidth="1"/>
    <col min="3552" max="3584" width="11" style="34"/>
    <col min="3585" max="3585" width="19.7109375" style="34" customWidth="1"/>
    <col min="3586" max="3586" width="12" style="34" bestFit="1" customWidth="1"/>
    <col min="3587" max="3587" width="10.28515625" style="34" bestFit="1" customWidth="1"/>
    <col min="3588" max="3588" width="9.7109375" style="34" bestFit="1" customWidth="1"/>
    <col min="3589" max="3589" width="11.140625" style="34" bestFit="1" customWidth="1"/>
    <col min="3590" max="3590" width="11.28515625" style="34" bestFit="1" customWidth="1"/>
    <col min="3591" max="3591" width="12" style="34" bestFit="1" customWidth="1"/>
    <col min="3592" max="3592" width="9.42578125" style="34" bestFit="1" customWidth="1"/>
    <col min="3593" max="3593" width="11.28515625" style="34" bestFit="1" customWidth="1"/>
    <col min="3594" max="3594" width="9.140625" style="34" bestFit="1" customWidth="1"/>
    <col min="3595" max="3596" width="10.42578125" style="34" bestFit="1" customWidth="1"/>
    <col min="3597" max="3597" width="11.5703125" style="34" bestFit="1" customWidth="1"/>
    <col min="3598" max="3598" width="11" style="34" bestFit="1" customWidth="1"/>
    <col min="3599" max="3599" width="11.42578125" style="34" bestFit="1" customWidth="1"/>
    <col min="3600" max="3600" width="12.5703125" style="34" bestFit="1" customWidth="1"/>
    <col min="3601" max="3601" width="12" style="34" bestFit="1" customWidth="1"/>
    <col min="3602" max="3626" width="0" style="34" hidden="1" customWidth="1"/>
    <col min="3627" max="3627" width="17.7109375" style="34" customWidth="1"/>
    <col min="3628" max="3664" width="11" style="34" customWidth="1"/>
    <col min="3665" max="3665" width="0" style="34" hidden="1" customWidth="1"/>
    <col min="3666" max="3807" width="11" style="34" customWidth="1"/>
    <col min="3808" max="3840" width="11" style="34"/>
    <col min="3841" max="3841" width="19.7109375" style="34" customWidth="1"/>
    <col min="3842" max="3842" width="12" style="34" bestFit="1" customWidth="1"/>
    <col min="3843" max="3843" width="10.28515625" style="34" bestFit="1" customWidth="1"/>
    <col min="3844" max="3844" width="9.7109375" style="34" bestFit="1" customWidth="1"/>
    <col min="3845" max="3845" width="11.140625" style="34" bestFit="1" customWidth="1"/>
    <col min="3846" max="3846" width="11.28515625" style="34" bestFit="1" customWidth="1"/>
    <col min="3847" max="3847" width="12" style="34" bestFit="1" customWidth="1"/>
    <col min="3848" max="3848" width="9.42578125" style="34" bestFit="1" customWidth="1"/>
    <col min="3849" max="3849" width="11.28515625" style="34" bestFit="1" customWidth="1"/>
    <col min="3850" max="3850" width="9.140625" style="34" bestFit="1" customWidth="1"/>
    <col min="3851" max="3852" width="10.42578125" style="34" bestFit="1" customWidth="1"/>
    <col min="3853" max="3853" width="11.5703125" style="34" bestFit="1" customWidth="1"/>
    <col min="3854" max="3854" width="11" style="34" bestFit="1" customWidth="1"/>
    <col min="3855" max="3855" width="11.42578125" style="34" bestFit="1" customWidth="1"/>
    <col min="3856" max="3856" width="12.5703125" style="34" bestFit="1" customWidth="1"/>
    <col min="3857" max="3857" width="12" style="34" bestFit="1" customWidth="1"/>
    <col min="3858" max="3882" width="0" style="34" hidden="1" customWidth="1"/>
    <col min="3883" max="3883" width="17.7109375" style="34" customWidth="1"/>
    <col min="3884" max="3920" width="11" style="34" customWidth="1"/>
    <col min="3921" max="3921" width="0" style="34" hidden="1" customWidth="1"/>
    <col min="3922" max="4063" width="11" style="34" customWidth="1"/>
    <col min="4064" max="4096" width="11" style="34"/>
    <col min="4097" max="4097" width="19.7109375" style="34" customWidth="1"/>
    <col min="4098" max="4098" width="12" style="34" bestFit="1" customWidth="1"/>
    <col min="4099" max="4099" width="10.28515625" style="34" bestFit="1" customWidth="1"/>
    <col min="4100" max="4100" width="9.7109375" style="34" bestFit="1" customWidth="1"/>
    <col min="4101" max="4101" width="11.140625" style="34" bestFit="1" customWidth="1"/>
    <col min="4102" max="4102" width="11.28515625" style="34" bestFit="1" customWidth="1"/>
    <col min="4103" max="4103" width="12" style="34" bestFit="1" customWidth="1"/>
    <col min="4104" max="4104" width="9.42578125" style="34" bestFit="1" customWidth="1"/>
    <col min="4105" max="4105" width="11.28515625" style="34" bestFit="1" customWidth="1"/>
    <col min="4106" max="4106" width="9.140625" style="34" bestFit="1" customWidth="1"/>
    <col min="4107" max="4108" width="10.42578125" style="34" bestFit="1" customWidth="1"/>
    <col min="4109" max="4109" width="11.5703125" style="34" bestFit="1" customWidth="1"/>
    <col min="4110" max="4110" width="11" style="34" bestFit="1" customWidth="1"/>
    <col min="4111" max="4111" width="11.42578125" style="34" bestFit="1" customWidth="1"/>
    <col min="4112" max="4112" width="12.5703125" style="34" bestFit="1" customWidth="1"/>
    <col min="4113" max="4113" width="12" style="34" bestFit="1" customWidth="1"/>
    <col min="4114" max="4138" width="0" style="34" hidden="1" customWidth="1"/>
    <col min="4139" max="4139" width="17.7109375" style="34" customWidth="1"/>
    <col min="4140" max="4176" width="11" style="34" customWidth="1"/>
    <col min="4177" max="4177" width="0" style="34" hidden="1" customWidth="1"/>
    <col min="4178" max="4319" width="11" style="34" customWidth="1"/>
    <col min="4320" max="4352" width="11" style="34"/>
    <col min="4353" max="4353" width="19.7109375" style="34" customWidth="1"/>
    <col min="4354" max="4354" width="12" style="34" bestFit="1" customWidth="1"/>
    <col min="4355" max="4355" width="10.28515625" style="34" bestFit="1" customWidth="1"/>
    <col min="4356" max="4356" width="9.7109375" style="34" bestFit="1" customWidth="1"/>
    <col min="4357" max="4357" width="11.140625" style="34" bestFit="1" customWidth="1"/>
    <col min="4358" max="4358" width="11.28515625" style="34" bestFit="1" customWidth="1"/>
    <col min="4359" max="4359" width="12" style="34" bestFit="1" customWidth="1"/>
    <col min="4360" max="4360" width="9.42578125" style="34" bestFit="1" customWidth="1"/>
    <col min="4361" max="4361" width="11.28515625" style="34" bestFit="1" customWidth="1"/>
    <col min="4362" max="4362" width="9.140625" style="34" bestFit="1" customWidth="1"/>
    <col min="4363" max="4364" width="10.42578125" style="34" bestFit="1" customWidth="1"/>
    <col min="4365" max="4365" width="11.5703125" style="34" bestFit="1" customWidth="1"/>
    <col min="4366" max="4366" width="11" style="34" bestFit="1" customWidth="1"/>
    <col min="4367" max="4367" width="11.42578125" style="34" bestFit="1" customWidth="1"/>
    <col min="4368" max="4368" width="12.5703125" style="34" bestFit="1" customWidth="1"/>
    <col min="4369" max="4369" width="12" style="34" bestFit="1" customWidth="1"/>
    <col min="4370" max="4394" width="0" style="34" hidden="1" customWidth="1"/>
    <col min="4395" max="4395" width="17.7109375" style="34" customWidth="1"/>
    <col min="4396" max="4432" width="11" style="34" customWidth="1"/>
    <col min="4433" max="4433" width="0" style="34" hidden="1" customWidth="1"/>
    <col min="4434" max="4575" width="11" style="34" customWidth="1"/>
    <col min="4576" max="4608" width="11" style="34"/>
    <col min="4609" max="4609" width="19.7109375" style="34" customWidth="1"/>
    <col min="4610" max="4610" width="12" style="34" bestFit="1" customWidth="1"/>
    <col min="4611" max="4611" width="10.28515625" style="34" bestFit="1" customWidth="1"/>
    <col min="4612" max="4612" width="9.7109375" style="34" bestFit="1" customWidth="1"/>
    <col min="4613" max="4613" width="11.140625" style="34" bestFit="1" customWidth="1"/>
    <col min="4614" max="4614" width="11.28515625" style="34" bestFit="1" customWidth="1"/>
    <col min="4615" max="4615" width="12" style="34" bestFit="1" customWidth="1"/>
    <col min="4616" max="4616" width="9.42578125" style="34" bestFit="1" customWidth="1"/>
    <col min="4617" max="4617" width="11.28515625" style="34" bestFit="1" customWidth="1"/>
    <col min="4618" max="4618" width="9.140625" style="34" bestFit="1" customWidth="1"/>
    <col min="4619" max="4620" width="10.42578125" style="34" bestFit="1" customWidth="1"/>
    <col min="4621" max="4621" width="11.5703125" style="34" bestFit="1" customWidth="1"/>
    <col min="4622" max="4622" width="11" style="34" bestFit="1" customWidth="1"/>
    <col min="4623" max="4623" width="11.42578125" style="34" bestFit="1" customWidth="1"/>
    <col min="4624" max="4624" width="12.5703125" style="34" bestFit="1" customWidth="1"/>
    <col min="4625" max="4625" width="12" style="34" bestFit="1" customWidth="1"/>
    <col min="4626" max="4650" width="0" style="34" hidden="1" customWidth="1"/>
    <col min="4651" max="4651" width="17.7109375" style="34" customWidth="1"/>
    <col min="4652" max="4688" width="11" style="34" customWidth="1"/>
    <col min="4689" max="4689" width="0" style="34" hidden="1" customWidth="1"/>
    <col min="4690" max="4831" width="11" style="34" customWidth="1"/>
    <col min="4832" max="4864" width="11" style="34"/>
    <col min="4865" max="4865" width="19.7109375" style="34" customWidth="1"/>
    <col min="4866" max="4866" width="12" style="34" bestFit="1" customWidth="1"/>
    <col min="4867" max="4867" width="10.28515625" style="34" bestFit="1" customWidth="1"/>
    <col min="4868" max="4868" width="9.7109375" style="34" bestFit="1" customWidth="1"/>
    <col min="4869" max="4869" width="11.140625" style="34" bestFit="1" customWidth="1"/>
    <col min="4870" max="4870" width="11.28515625" style="34" bestFit="1" customWidth="1"/>
    <col min="4871" max="4871" width="12" style="34" bestFit="1" customWidth="1"/>
    <col min="4872" max="4872" width="9.42578125" style="34" bestFit="1" customWidth="1"/>
    <col min="4873" max="4873" width="11.28515625" style="34" bestFit="1" customWidth="1"/>
    <col min="4874" max="4874" width="9.140625" style="34" bestFit="1" customWidth="1"/>
    <col min="4875" max="4876" width="10.42578125" style="34" bestFit="1" customWidth="1"/>
    <col min="4877" max="4877" width="11.5703125" style="34" bestFit="1" customWidth="1"/>
    <col min="4878" max="4878" width="11" style="34" bestFit="1" customWidth="1"/>
    <col min="4879" max="4879" width="11.42578125" style="34" bestFit="1" customWidth="1"/>
    <col min="4880" max="4880" width="12.5703125" style="34" bestFit="1" customWidth="1"/>
    <col min="4881" max="4881" width="12" style="34" bestFit="1" customWidth="1"/>
    <col min="4882" max="4906" width="0" style="34" hidden="1" customWidth="1"/>
    <col min="4907" max="4907" width="17.7109375" style="34" customWidth="1"/>
    <col min="4908" max="4944" width="11" style="34" customWidth="1"/>
    <col min="4945" max="4945" width="0" style="34" hidden="1" customWidth="1"/>
    <col min="4946" max="5087" width="11" style="34" customWidth="1"/>
    <col min="5088" max="5120" width="11" style="34"/>
    <col min="5121" max="5121" width="19.7109375" style="34" customWidth="1"/>
    <col min="5122" max="5122" width="12" style="34" bestFit="1" customWidth="1"/>
    <col min="5123" max="5123" width="10.28515625" style="34" bestFit="1" customWidth="1"/>
    <col min="5124" max="5124" width="9.7109375" style="34" bestFit="1" customWidth="1"/>
    <col min="5125" max="5125" width="11.140625" style="34" bestFit="1" customWidth="1"/>
    <col min="5126" max="5126" width="11.28515625" style="34" bestFit="1" customWidth="1"/>
    <col min="5127" max="5127" width="12" style="34" bestFit="1" customWidth="1"/>
    <col min="5128" max="5128" width="9.42578125" style="34" bestFit="1" customWidth="1"/>
    <col min="5129" max="5129" width="11.28515625" style="34" bestFit="1" customWidth="1"/>
    <col min="5130" max="5130" width="9.140625" style="34" bestFit="1" customWidth="1"/>
    <col min="5131" max="5132" width="10.42578125" style="34" bestFit="1" customWidth="1"/>
    <col min="5133" max="5133" width="11.5703125" style="34" bestFit="1" customWidth="1"/>
    <col min="5134" max="5134" width="11" style="34" bestFit="1" customWidth="1"/>
    <col min="5135" max="5135" width="11.42578125" style="34" bestFit="1" customWidth="1"/>
    <col min="5136" max="5136" width="12.5703125" style="34" bestFit="1" customWidth="1"/>
    <col min="5137" max="5137" width="12" style="34" bestFit="1" customWidth="1"/>
    <col min="5138" max="5162" width="0" style="34" hidden="1" customWidth="1"/>
    <col min="5163" max="5163" width="17.7109375" style="34" customWidth="1"/>
    <col min="5164" max="5200" width="11" style="34" customWidth="1"/>
    <col min="5201" max="5201" width="0" style="34" hidden="1" customWidth="1"/>
    <col min="5202" max="5343" width="11" style="34" customWidth="1"/>
    <col min="5344" max="5376" width="11" style="34"/>
    <col min="5377" max="5377" width="19.7109375" style="34" customWidth="1"/>
    <col min="5378" max="5378" width="12" style="34" bestFit="1" customWidth="1"/>
    <col min="5379" max="5379" width="10.28515625" style="34" bestFit="1" customWidth="1"/>
    <col min="5380" max="5380" width="9.7109375" style="34" bestFit="1" customWidth="1"/>
    <col min="5381" max="5381" width="11.140625" style="34" bestFit="1" customWidth="1"/>
    <col min="5382" max="5382" width="11.28515625" style="34" bestFit="1" customWidth="1"/>
    <col min="5383" max="5383" width="12" style="34" bestFit="1" customWidth="1"/>
    <col min="5384" max="5384" width="9.42578125" style="34" bestFit="1" customWidth="1"/>
    <col min="5385" max="5385" width="11.28515625" style="34" bestFit="1" customWidth="1"/>
    <col min="5386" max="5386" width="9.140625" style="34" bestFit="1" customWidth="1"/>
    <col min="5387" max="5388" width="10.42578125" style="34" bestFit="1" customWidth="1"/>
    <col min="5389" max="5389" width="11.5703125" style="34" bestFit="1" customWidth="1"/>
    <col min="5390" max="5390" width="11" style="34" bestFit="1" customWidth="1"/>
    <col min="5391" max="5391" width="11.42578125" style="34" bestFit="1" customWidth="1"/>
    <col min="5392" max="5392" width="12.5703125" style="34" bestFit="1" customWidth="1"/>
    <col min="5393" max="5393" width="12" style="34" bestFit="1" customWidth="1"/>
    <col min="5394" max="5418" width="0" style="34" hidden="1" customWidth="1"/>
    <col min="5419" max="5419" width="17.7109375" style="34" customWidth="1"/>
    <col min="5420" max="5456" width="11" style="34" customWidth="1"/>
    <col min="5457" max="5457" width="0" style="34" hidden="1" customWidth="1"/>
    <col min="5458" max="5599" width="11" style="34" customWidth="1"/>
    <col min="5600" max="5632" width="11" style="34"/>
    <col min="5633" max="5633" width="19.7109375" style="34" customWidth="1"/>
    <col min="5634" max="5634" width="12" style="34" bestFit="1" customWidth="1"/>
    <col min="5635" max="5635" width="10.28515625" style="34" bestFit="1" customWidth="1"/>
    <col min="5636" max="5636" width="9.7109375" style="34" bestFit="1" customWidth="1"/>
    <col min="5637" max="5637" width="11.140625" style="34" bestFit="1" customWidth="1"/>
    <col min="5638" max="5638" width="11.28515625" style="34" bestFit="1" customWidth="1"/>
    <col min="5639" max="5639" width="12" style="34" bestFit="1" customWidth="1"/>
    <col min="5640" max="5640" width="9.42578125" style="34" bestFit="1" customWidth="1"/>
    <col min="5641" max="5641" width="11.28515625" style="34" bestFit="1" customWidth="1"/>
    <col min="5642" max="5642" width="9.140625" style="34" bestFit="1" customWidth="1"/>
    <col min="5643" max="5644" width="10.42578125" style="34" bestFit="1" customWidth="1"/>
    <col min="5645" max="5645" width="11.5703125" style="34" bestFit="1" customWidth="1"/>
    <col min="5646" max="5646" width="11" style="34" bestFit="1" customWidth="1"/>
    <col min="5647" max="5647" width="11.42578125" style="34" bestFit="1" customWidth="1"/>
    <col min="5648" max="5648" width="12.5703125" style="34" bestFit="1" customWidth="1"/>
    <col min="5649" max="5649" width="12" style="34" bestFit="1" customWidth="1"/>
    <col min="5650" max="5674" width="0" style="34" hidden="1" customWidth="1"/>
    <col min="5675" max="5675" width="17.7109375" style="34" customWidth="1"/>
    <col min="5676" max="5712" width="11" style="34" customWidth="1"/>
    <col min="5713" max="5713" width="0" style="34" hidden="1" customWidth="1"/>
    <col min="5714" max="5855" width="11" style="34" customWidth="1"/>
    <col min="5856" max="5888" width="11" style="34"/>
    <col min="5889" max="5889" width="19.7109375" style="34" customWidth="1"/>
    <col min="5890" max="5890" width="12" style="34" bestFit="1" customWidth="1"/>
    <col min="5891" max="5891" width="10.28515625" style="34" bestFit="1" customWidth="1"/>
    <col min="5892" max="5892" width="9.7109375" style="34" bestFit="1" customWidth="1"/>
    <col min="5893" max="5893" width="11.140625" style="34" bestFit="1" customWidth="1"/>
    <col min="5894" max="5894" width="11.28515625" style="34" bestFit="1" customWidth="1"/>
    <col min="5895" max="5895" width="12" style="34" bestFit="1" customWidth="1"/>
    <col min="5896" max="5896" width="9.42578125" style="34" bestFit="1" customWidth="1"/>
    <col min="5897" max="5897" width="11.28515625" style="34" bestFit="1" customWidth="1"/>
    <col min="5898" max="5898" width="9.140625" style="34" bestFit="1" customWidth="1"/>
    <col min="5899" max="5900" width="10.42578125" style="34" bestFit="1" customWidth="1"/>
    <col min="5901" max="5901" width="11.5703125" style="34" bestFit="1" customWidth="1"/>
    <col min="5902" max="5902" width="11" style="34" bestFit="1" customWidth="1"/>
    <col min="5903" max="5903" width="11.42578125" style="34" bestFit="1" customWidth="1"/>
    <col min="5904" max="5904" width="12.5703125" style="34" bestFit="1" customWidth="1"/>
    <col min="5905" max="5905" width="12" style="34" bestFit="1" customWidth="1"/>
    <col min="5906" max="5930" width="0" style="34" hidden="1" customWidth="1"/>
    <col min="5931" max="5931" width="17.7109375" style="34" customWidth="1"/>
    <col min="5932" max="5968" width="11" style="34" customWidth="1"/>
    <col min="5969" max="5969" width="0" style="34" hidden="1" customWidth="1"/>
    <col min="5970" max="6111" width="11" style="34" customWidth="1"/>
    <col min="6112" max="6144" width="11" style="34"/>
    <col min="6145" max="6145" width="19.7109375" style="34" customWidth="1"/>
    <col min="6146" max="6146" width="12" style="34" bestFit="1" customWidth="1"/>
    <col min="6147" max="6147" width="10.28515625" style="34" bestFit="1" customWidth="1"/>
    <col min="6148" max="6148" width="9.7109375" style="34" bestFit="1" customWidth="1"/>
    <col min="6149" max="6149" width="11.140625" style="34" bestFit="1" customWidth="1"/>
    <col min="6150" max="6150" width="11.28515625" style="34" bestFit="1" customWidth="1"/>
    <col min="6151" max="6151" width="12" style="34" bestFit="1" customWidth="1"/>
    <col min="6152" max="6152" width="9.42578125" style="34" bestFit="1" customWidth="1"/>
    <col min="6153" max="6153" width="11.28515625" style="34" bestFit="1" customWidth="1"/>
    <col min="6154" max="6154" width="9.140625" style="34" bestFit="1" customWidth="1"/>
    <col min="6155" max="6156" width="10.42578125" style="34" bestFit="1" customWidth="1"/>
    <col min="6157" max="6157" width="11.5703125" style="34" bestFit="1" customWidth="1"/>
    <col min="6158" max="6158" width="11" style="34" bestFit="1" customWidth="1"/>
    <col min="6159" max="6159" width="11.42578125" style="34" bestFit="1" customWidth="1"/>
    <col min="6160" max="6160" width="12.5703125" style="34" bestFit="1" customWidth="1"/>
    <col min="6161" max="6161" width="12" style="34" bestFit="1" customWidth="1"/>
    <col min="6162" max="6186" width="0" style="34" hidden="1" customWidth="1"/>
    <col min="6187" max="6187" width="17.7109375" style="34" customWidth="1"/>
    <col min="6188" max="6224" width="11" style="34" customWidth="1"/>
    <col min="6225" max="6225" width="0" style="34" hidden="1" customWidth="1"/>
    <col min="6226" max="6367" width="11" style="34" customWidth="1"/>
    <col min="6368" max="6400" width="11" style="34"/>
    <col min="6401" max="6401" width="19.7109375" style="34" customWidth="1"/>
    <col min="6402" max="6402" width="12" style="34" bestFit="1" customWidth="1"/>
    <col min="6403" max="6403" width="10.28515625" style="34" bestFit="1" customWidth="1"/>
    <col min="6404" max="6404" width="9.7109375" style="34" bestFit="1" customWidth="1"/>
    <col min="6405" max="6405" width="11.140625" style="34" bestFit="1" customWidth="1"/>
    <col min="6406" max="6406" width="11.28515625" style="34" bestFit="1" customWidth="1"/>
    <col min="6407" max="6407" width="12" style="34" bestFit="1" customWidth="1"/>
    <col min="6408" max="6408" width="9.42578125" style="34" bestFit="1" customWidth="1"/>
    <col min="6409" max="6409" width="11.28515625" style="34" bestFit="1" customWidth="1"/>
    <col min="6410" max="6410" width="9.140625" style="34" bestFit="1" customWidth="1"/>
    <col min="6411" max="6412" width="10.42578125" style="34" bestFit="1" customWidth="1"/>
    <col min="6413" max="6413" width="11.5703125" style="34" bestFit="1" customWidth="1"/>
    <col min="6414" max="6414" width="11" style="34" bestFit="1" customWidth="1"/>
    <col min="6415" max="6415" width="11.42578125" style="34" bestFit="1" customWidth="1"/>
    <col min="6416" max="6416" width="12.5703125" style="34" bestFit="1" customWidth="1"/>
    <col min="6417" max="6417" width="12" style="34" bestFit="1" customWidth="1"/>
    <col min="6418" max="6442" width="0" style="34" hidden="1" customWidth="1"/>
    <col min="6443" max="6443" width="17.7109375" style="34" customWidth="1"/>
    <col min="6444" max="6480" width="11" style="34" customWidth="1"/>
    <col min="6481" max="6481" width="0" style="34" hidden="1" customWidth="1"/>
    <col min="6482" max="6623" width="11" style="34" customWidth="1"/>
    <col min="6624" max="6656" width="11" style="34"/>
    <col min="6657" max="6657" width="19.7109375" style="34" customWidth="1"/>
    <col min="6658" max="6658" width="12" style="34" bestFit="1" customWidth="1"/>
    <col min="6659" max="6659" width="10.28515625" style="34" bestFit="1" customWidth="1"/>
    <col min="6660" max="6660" width="9.7109375" style="34" bestFit="1" customWidth="1"/>
    <col min="6661" max="6661" width="11.140625" style="34" bestFit="1" customWidth="1"/>
    <col min="6662" max="6662" width="11.28515625" style="34" bestFit="1" customWidth="1"/>
    <col min="6663" max="6663" width="12" style="34" bestFit="1" customWidth="1"/>
    <col min="6664" max="6664" width="9.42578125" style="34" bestFit="1" customWidth="1"/>
    <col min="6665" max="6665" width="11.28515625" style="34" bestFit="1" customWidth="1"/>
    <col min="6666" max="6666" width="9.140625" style="34" bestFit="1" customWidth="1"/>
    <col min="6667" max="6668" width="10.42578125" style="34" bestFit="1" customWidth="1"/>
    <col min="6669" max="6669" width="11.5703125" style="34" bestFit="1" customWidth="1"/>
    <col min="6670" max="6670" width="11" style="34" bestFit="1" customWidth="1"/>
    <col min="6671" max="6671" width="11.42578125" style="34" bestFit="1" customWidth="1"/>
    <col min="6672" max="6672" width="12.5703125" style="34" bestFit="1" customWidth="1"/>
    <col min="6673" max="6673" width="12" style="34" bestFit="1" customWidth="1"/>
    <col min="6674" max="6698" width="0" style="34" hidden="1" customWidth="1"/>
    <col min="6699" max="6699" width="17.7109375" style="34" customWidth="1"/>
    <col min="6700" max="6736" width="11" style="34" customWidth="1"/>
    <col min="6737" max="6737" width="0" style="34" hidden="1" customWidth="1"/>
    <col min="6738" max="6879" width="11" style="34" customWidth="1"/>
    <col min="6880" max="6912" width="11" style="34"/>
    <col min="6913" max="6913" width="19.7109375" style="34" customWidth="1"/>
    <col min="6914" max="6914" width="12" style="34" bestFit="1" customWidth="1"/>
    <col min="6915" max="6915" width="10.28515625" style="34" bestFit="1" customWidth="1"/>
    <col min="6916" max="6916" width="9.7109375" style="34" bestFit="1" customWidth="1"/>
    <col min="6917" max="6917" width="11.140625" style="34" bestFit="1" customWidth="1"/>
    <col min="6918" max="6918" width="11.28515625" style="34" bestFit="1" customWidth="1"/>
    <col min="6919" max="6919" width="12" style="34" bestFit="1" customWidth="1"/>
    <col min="6920" max="6920" width="9.42578125" style="34" bestFit="1" customWidth="1"/>
    <col min="6921" max="6921" width="11.28515625" style="34" bestFit="1" customWidth="1"/>
    <col min="6922" max="6922" width="9.140625" style="34" bestFit="1" customWidth="1"/>
    <col min="6923" max="6924" width="10.42578125" style="34" bestFit="1" customWidth="1"/>
    <col min="6925" max="6925" width="11.5703125" style="34" bestFit="1" customWidth="1"/>
    <col min="6926" max="6926" width="11" style="34" bestFit="1" customWidth="1"/>
    <col min="6927" max="6927" width="11.42578125" style="34" bestFit="1" customWidth="1"/>
    <col min="6928" max="6928" width="12.5703125" style="34" bestFit="1" customWidth="1"/>
    <col min="6929" max="6929" width="12" style="34" bestFit="1" customWidth="1"/>
    <col min="6930" max="6954" width="0" style="34" hidden="1" customWidth="1"/>
    <col min="6955" max="6955" width="17.7109375" style="34" customWidth="1"/>
    <col min="6956" max="6992" width="11" style="34" customWidth="1"/>
    <col min="6993" max="6993" width="0" style="34" hidden="1" customWidth="1"/>
    <col min="6994" max="7135" width="11" style="34" customWidth="1"/>
    <col min="7136" max="7168" width="11" style="34"/>
    <col min="7169" max="7169" width="19.7109375" style="34" customWidth="1"/>
    <col min="7170" max="7170" width="12" style="34" bestFit="1" customWidth="1"/>
    <col min="7171" max="7171" width="10.28515625" style="34" bestFit="1" customWidth="1"/>
    <col min="7172" max="7172" width="9.7109375" style="34" bestFit="1" customWidth="1"/>
    <col min="7173" max="7173" width="11.140625" style="34" bestFit="1" customWidth="1"/>
    <col min="7174" max="7174" width="11.28515625" style="34" bestFit="1" customWidth="1"/>
    <col min="7175" max="7175" width="12" style="34" bestFit="1" customWidth="1"/>
    <col min="7176" max="7176" width="9.42578125" style="34" bestFit="1" customWidth="1"/>
    <col min="7177" max="7177" width="11.28515625" style="34" bestFit="1" customWidth="1"/>
    <col min="7178" max="7178" width="9.140625" style="34" bestFit="1" customWidth="1"/>
    <col min="7179" max="7180" width="10.42578125" style="34" bestFit="1" customWidth="1"/>
    <col min="7181" max="7181" width="11.5703125" style="34" bestFit="1" customWidth="1"/>
    <col min="7182" max="7182" width="11" style="34" bestFit="1" customWidth="1"/>
    <col min="7183" max="7183" width="11.42578125" style="34" bestFit="1" customWidth="1"/>
    <col min="7184" max="7184" width="12.5703125" style="34" bestFit="1" customWidth="1"/>
    <col min="7185" max="7185" width="12" style="34" bestFit="1" customWidth="1"/>
    <col min="7186" max="7210" width="0" style="34" hidden="1" customWidth="1"/>
    <col min="7211" max="7211" width="17.7109375" style="34" customWidth="1"/>
    <col min="7212" max="7248" width="11" style="34" customWidth="1"/>
    <col min="7249" max="7249" width="0" style="34" hidden="1" customWidth="1"/>
    <col min="7250" max="7391" width="11" style="34" customWidth="1"/>
    <col min="7392" max="7424" width="11" style="34"/>
    <col min="7425" max="7425" width="19.7109375" style="34" customWidth="1"/>
    <col min="7426" max="7426" width="12" style="34" bestFit="1" customWidth="1"/>
    <col min="7427" max="7427" width="10.28515625" style="34" bestFit="1" customWidth="1"/>
    <col min="7428" max="7428" width="9.7109375" style="34" bestFit="1" customWidth="1"/>
    <col min="7429" max="7429" width="11.140625" style="34" bestFit="1" customWidth="1"/>
    <col min="7430" max="7430" width="11.28515625" style="34" bestFit="1" customWidth="1"/>
    <col min="7431" max="7431" width="12" style="34" bestFit="1" customWidth="1"/>
    <col min="7432" max="7432" width="9.42578125" style="34" bestFit="1" customWidth="1"/>
    <col min="7433" max="7433" width="11.28515625" style="34" bestFit="1" customWidth="1"/>
    <col min="7434" max="7434" width="9.140625" style="34" bestFit="1" customWidth="1"/>
    <col min="7435" max="7436" width="10.42578125" style="34" bestFit="1" customWidth="1"/>
    <col min="7437" max="7437" width="11.5703125" style="34" bestFit="1" customWidth="1"/>
    <col min="7438" max="7438" width="11" style="34" bestFit="1" customWidth="1"/>
    <col min="7439" max="7439" width="11.42578125" style="34" bestFit="1" customWidth="1"/>
    <col min="7440" max="7440" width="12.5703125" style="34" bestFit="1" customWidth="1"/>
    <col min="7441" max="7441" width="12" style="34" bestFit="1" customWidth="1"/>
    <col min="7442" max="7466" width="0" style="34" hidden="1" customWidth="1"/>
    <col min="7467" max="7467" width="17.7109375" style="34" customWidth="1"/>
    <col min="7468" max="7504" width="11" style="34" customWidth="1"/>
    <col min="7505" max="7505" width="0" style="34" hidden="1" customWidth="1"/>
    <col min="7506" max="7647" width="11" style="34" customWidth="1"/>
    <col min="7648" max="7680" width="11" style="34"/>
    <col min="7681" max="7681" width="19.7109375" style="34" customWidth="1"/>
    <col min="7682" max="7682" width="12" style="34" bestFit="1" customWidth="1"/>
    <col min="7683" max="7683" width="10.28515625" style="34" bestFit="1" customWidth="1"/>
    <col min="7684" max="7684" width="9.7109375" style="34" bestFit="1" customWidth="1"/>
    <col min="7685" max="7685" width="11.140625" style="34" bestFit="1" customWidth="1"/>
    <col min="7686" max="7686" width="11.28515625" style="34" bestFit="1" customWidth="1"/>
    <col min="7687" max="7687" width="12" style="34" bestFit="1" customWidth="1"/>
    <col min="7688" max="7688" width="9.42578125" style="34" bestFit="1" customWidth="1"/>
    <col min="7689" max="7689" width="11.28515625" style="34" bestFit="1" customWidth="1"/>
    <col min="7690" max="7690" width="9.140625" style="34" bestFit="1" customWidth="1"/>
    <col min="7691" max="7692" width="10.42578125" style="34" bestFit="1" customWidth="1"/>
    <col min="7693" max="7693" width="11.5703125" style="34" bestFit="1" customWidth="1"/>
    <col min="7694" max="7694" width="11" style="34" bestFit="1" customWidth="1"/>
    <col min="7695" max="7695" width="11.42578125" style="34" bestFit="1" customWidth="1"/>
    <col min="7696" max="7696" width="12.5703125" style="34" bestFit="1" customWidth="1"/>
    <col min="7697" max="7697" width="12" style="34" bestFit="1" customWidth="1"/>
    <col min="7698" max="7722" width="0" style="34" hidden="1" customWidth="1"/>
    <col min="7723" max="7723" width="17.7109375" style="34" customWidth="1"/>
    <col min="7724" max="7760" width="11" style="34" customWidth="1"/>
    <col min="7761" max="7761" width="0" style="34" hidden="1" customWidth="1"/>
    <col min="7762" max="7903" width="11" style="34" customWidth="1"/>
    <col min="7904" max="7936" width="11" style="34"/>
    <col min="7937" max="7937" width="19.7109375" style="34" customWidth="1"/>
    <col min="7938" max="7938" width="12" style="34" bestFit="1" customWidth="1"/>
    <col min="7939" max="7939" width="10.28515625" style="34" bestFit="1" customWidth="1"/>
    <col min="7940" max="7940" width="9.7109375" style="34" bestFit="1" customWidth="1"/>
    <col min="7941" max="7941" width="11.140625" style="34" bestFit="1" customWidth="1"/>
    <col min="7942" max="7942" width="11.28515625" style="34" bestFit="1" customWidth="1"/>
    <col min="7943" max="7943" width="12" style="34" bestFit="1" customWidth="1"/>
    <col min="7944" max="7944" width="9.42578125" style="34" bestFit="1" customWidth="1"/>
    <col min="7945" max="7945" width="11.28515625" style="34" bestFit="1" customWidth="1"/>
    <col min="7946" max="7946" width="9.140625" style="34" bestFit="1" customWidth="1"/>
    <col min="7947" max="7948" width="10.42578125" style="34" bestFit="1" customWidth="1"/>
    <col min="7949" max="7949" width="11.5703125" style="34" bestFit="1" customWidth="1"/>
    <col min="7950" max="7950" width="11" style="34" bestFit="1" customWidth="1"/>
    <col min="7951" max="7951" width="11.42578125" style="34" bestFit="1" customWidth="1"/>
    <col min="7952" max="7952" width="12.5703125" style="34" bestFit="1" customWidth="1"/>
    <col min="7953" max="7953" width="12" style="34" bestFit="1" customWidth="1"/>
    <col min="7954" max="7978" width="0" style="34" hidden="1" customWidth="1"/>
    <col min="7979" max="7979" width="17.7109375" style="34" customWidth="1"/>
    <col min="7980" max="8016" width="11" style="34" customWidth="1"/>
    <col min="8017" max="8017" width="0" style="34" hidden="1" customWidth="1"/>
    <col min="8018" max="8159" width="11" style="34" customWidth="1"/>
    <col min="8160" max="8192" width="11" style="34"/>
    <col min="8193" max="8193" width="19.7109375" style="34" customWidth="1"/>
    <col min="8194" max="8194" width="12" style="34" bestFit="1" customWidth="1"/>
    <col min="8195" max="8195" width="10.28515625" style="34" bestFit="1" customWidth="1"/>
    <col min="8196" max="8196" width="9.7109375" style="34" bestFit="1" customWidth="1"/>
    <col min="8197" max="8197" width="11.140625" style="34" bestFit="1" customWidth="1"/>
    <col min="8198" max="8198" width="11.28515625" style="34" bestFit="1" customWidth="1"/>
    <col min="8199" max="8199" width="12" style="34" bestFit="1" customWidth="1"/>
    <col min="8200" max="8200" width="9.42578125" style="34" bestFit="1" customWidth="1"/>
    <col min="8201" max="8201" width="11.28515625" style="34" bestFit="1" customWidth="1"/>
    <col min="8202" max="8202" width="9.140625" style="34" bestFit="1" customWidth="1"/>
    <col min="8203" max="8204" width="10.42578125" style="34" bestFit="1" customWidth="1"/>
    <col min="8205" max="8205" width="11.5703125" style="34" bestFit="1" customWidth="1"/>
    <col min="8206" max="8206" width="11" style="34" bestFit="1" customWidth="1"/>
    <col min="8207" max="8207" width="11.42578125" style="34" bestFit="1" customWidth="1"/>
    <col min="8208" max="8208" width="12.5703125" style="34" bestFit="1" customWidth="1"/>
    <col min="8209" max="8209" width="12" style="34" bestFit="1" customWidth="1"/>
    <col min="8210" max="8234" width="0" style="34" hidden="1" customWidth="1"/>
    <col min="8235" max="8235" width="17.7109375" style="34" customWidth="1"/>
    <col min="8236" max="8272" width="11" style="34" customWidth="1"/>
    <col min="8273" max="8273" width="0" style="34" hidden="1" customWidth="1"/>
    <col min="8274" max="8415" width="11" style="34" customWidth="1"/>
    <col min="8416" max="8448" width="11" style="34"/>
    <col min="8449" max="8449" width="19.7109375" style="34" customWidth="1"/>
    <col min="8450" max="8450" width="12" style="34" bestFit="1" customWidth="1"/>
    <col min="8451" max="8451" width="10.28515625" style="34" bestFit="1" customWidth="1"/>
    <col min="8452" max="8452" width="9.7109375" style="34" bestFit="1" customWidth="1"/>
    <col min="8453" max="8453" width="11.140625" style="34" bestFit="1" customWidth="1"/>
    <col min="8454" max="8454" width="11.28515625" style="34" bestFit="1" customWidth="1"/>
    <col min="8455" max="8455" width="12" style="34" bestFit="1" customWidth="1"/>
    <col min="8456" max="8456" width="9.42578125" style="34" bestFit="1" customWidth="1"/>
    <col min="8457" max="8457" width="11.28515625" style="34" bestFit="1" customWidth="1"/>
    <col min="8458" max="8458" width="9.140625" style="34" bestFit="1" customWidth="1"/>
    <col min="8459" max="8460" width="10.42578125" style="34" bestFit="1" customWidth="1"/>
    <col min="8461" max="8461" width="11.5703125" style="34" bestFit="1" customWidth="1"/>
    <col min="8462" max="8462" width="11" style="34" bestFit="1" customWidth="1"/>
    <col min="8463" max="8463" width="11.42578125" style="34" bestFit="1" customWidth="1"/>
    <col min="8464" max="8464" width="12.5703125" style="34" bestFit="1" customWidth="1"/>
    <col min="8465" max="8465" width="12" style="34" bestFit="1" customWidth="1"/>
    <col min="8466" max="8490" width="0" style="34" hidden="1" customWidth="1"/>
    <col min="8491" max="8491" width="17.7109375" style="34" customWidth="1"/>
    <col min="8492" max="8528" width="11" style="34" customWidth="1"/>
    <col min="8529" max="8529" width="0" style="34" hidden="1" customWidth="1"/>
    <col min="8530" max="8671" width="11" style="34" customWidth="1"/>
    <col min="8672" max="8704" width="11" style="34"/>
    <col min="8705" max="8705" width="19.7109375" style="34" customWidth="1"/>
    <col min="8706" max="8706" width="12" style="34" bestFit="1" customWidth="1"/>
    <col min="8707" max="8707" width="10.28515625" style="34" bestFit="1" customWidth="1"/>
    <col min="8708" max="8708" width="9.7109375" style="34" bestFit="1" customWidth="1"/>
    <col min="8709" max="8709" width="11.140625" style="34" bestFit="1" customWidth="1"/>
    <col min="8710" max="8710" width="11.28515625" style="34" bestFit="1" customWidth="1"/>
    <col min="8711" max="8711" width="12" style="34" bestFit="1" customWidth="1"/>
    <col min="8712" max="8712" width="9.42578125" style="34" bestFit="1" customWidth="1"/>
    <col min="8713" max="8713" width="11.28515625" style="34" bestFit="1" customWidth="1"/>
    <col min="8714" max="8714" width="9.140625" style="34" bestFit="1" customWidth="1"/>
    <col min="8715" max="8716" width="10.42578125" style="34" bestFit="1" customWidth="1"/>
    <col min="8717" max="8717" width="11.5703125" style="34" bestFit="1" customWidth="1"/>
    <col min="8718" max="8718" width="11" style="34" bestFit="1" customWidth="1"/>
    <col min="8719" max="8719" width="11.42578125" style="34" bestFit="1" customWidth="1"/>
    <col min="8720" max="8720" width="12.5703125" style="34" bestFit="1" customWidth="1"/>
    <col min="8721" max="8721" width="12" style="34" bestFit="1" customWidth="1"/>
    <col min="8722" max="8746" width="0" style="34" hidden="1" customWidth="1"/>
    <col min="8747" max="8747" width="17.7109375" style="34" customWidth="1"/>
    <col min="8748" max="8784" width="11" style="34" customWidth="1"/>
    <col min="8785" max="8785" width="0" style="34" hidden="1" customWidth="1"/>
    <col min="8786" max="8927" width="11" style="34" customWidth="1"/>
    <col min="8928" max="8960" width="11" style="34"/>
    <col min="8961" max="8961" width="19.7109375" style="34" customWidth="1"/>
    <col min="8962" max="8962" width="12" style="34" bestFit="1" customWidth="1"/>
    <col min="8963" max="8963" width="10.28515625" style="34" bestFit="1" customWidth="1"/>
    <col min="8964" max="8964" width="9.7109375" style="34" bestFit="1" customWidth="1"/>
    <col min="8965" max="8965" width="11.140625" style="34" bestFit="1" customWidth="1"/>
    <col min="8966" max="8966" width="11.28515625" style="34" bestFit="1" customWidth="1"/>
    <col min="8967" max="8967" width="12" style="34" bestFit="1" customWidth="1"/>
    <col min="8968" max="8968" width="9.42578125" style="34" bestFit="1" customWidth="1"/>
    <col min="8969" max="8969" width="11.28515625" style="34" bestFit="1" customWidth="1"/>
    <col min="8970" max="8970" width="9.140625" style="34" bestFit="1" customWidth="1"/>
    <col min="8971" max="8972" width="10.42578125" style="34" bestFit="1" customWidth="1"/>
    <col min="8973" max="8973" width="11.5703125" style="34" bestFit="1" customWidth="1"/>
    <col min="8974" max="8974" width="11" style="34" bestFit="1" customWidth="1"/>
    <col min="8975" max="8975" width="11.42578125" style="34" bestFit="1" customWidth="1"/>
    <col min="8976" max="8976" width="12.5703125" style="34" bestFit="1" customWidth="1"/>
    <col min="8977" max="8977" width="12" style="34" bestFit="1" customWidth="1"/>
    <col min="8978" max="9002" width="0" style="34" hidden="1" customWidth="1"/>
    <col min="9003" max="9003" width="17.7109375" style="34" customWidth="1"/>
    <col min="9004" max="9040" width="11" style="34" customWidth="1"/>
    <col min="9041" max="9041" width="0" style="34" hidden="1" customWidth="1"/>
    <col min="9042" max="9183" width="11" style="34" customWidth="1"/>
    <col min="9184" max="9216" width="11" style="34"/>
    <col min="9217" max="9217" width="19.7109375" style="34" customWidth="1"/>
    <col min="9218" max="9218" width="12" style="34" bestFit="1" customWidth="1"/>
    <col min="9219" max="9219" width="10.28515625" style="34" bestFit="1" customWidth="1"/>
    <col min="9220" max="9220" width="9.7109375" style="34" bestFit="1" customWidth="1"/>
    <col min="9221" max="9221" width="11.140625" style="34" bestFit="1" customWidth="1"/>
    <col min="9222" max="9222" width="11.28515625" style="34" bestFit="1" customWidth="1"/>
    <col min="9223" max="9223" width="12" style="34" bestFit="1" customWidth="1"/>
    <col min="9224" max="9224" width="9.42578125" style="34" bestFit="1" customWidth="1"/>
    <col min="9225" max="9225" width="11.28515625" style="34" bestFit="1" customWidth="1"/>
    <col min="9226" max="9226" width="9.140625" style="34" bestFit="1" customWidth="1"/>
    <col min="9227" max="9228" width="10.42578125" style="34" bestFit="1" customWidth="1"/>
    <col min="9229" max="9229" width="11.5703125" style="34" bestFit="1" customWidth="1"/>
    <col min="9230" max="9230" width="11" style="34" bestFit="1" customWidth="1"/>
    <col min="9231" max="9231" width="11.42578125" style="34" bestFit="1" customWidth="1"/>
    <col min="9232" max="9232" width="12.5703125" style="34" bestFit="1" customWidth="1"/>
    <col min="9233" max="9233" width="12" style="34" bestFit="1" customWidth="1"/>
    <col min="9234" max="9258" width="0" style="34" hidden="1" customWidth="1"/>
    <col min="9259" max="9259" width="17.7109375" style="34" customWidth="1"/>
    <col min="9260" max="9296" width="11" style="34" customWidth="1"/>
    <col min="9297" max="9297" width="0" style="34" hidden="1" customWidth="1"/>
    <col min="9298" max="9439" width="11" style="34" customWidth="1"/>
    <col min="9440" max="9472" width="11" style="34"/>
    <col min="9473" max="9473" width="19.7109375" style="34" customWidth="1"/>
    <col min="9474" max="9474" width="12" style="34" bestFit="1" customWidth="1"/>
    <col min="9475" max="9475" width="10.28515625" style="34" bestFit="1" customWidth="1"/>
    <col min="9476" max="9476" width="9.7109375" style="34" bestFit="1" customWidth="1"/>
    <col min="9477" max="9477" width="11.140625" style="34" bestFit="1" customWidth="1"/>
    <col min="9478" max="9478" width="11.28515625" style="34" bestFit="1" customWidth="1"/>
    <col min="9479" max="9479" width="12" style="34" bestFit="1" customWidth="1"/>
    <col min="9480" max="9480" width="9.42578125" style="34" bestFit="1" customWidth="1"/>
    <col min="9481" max="9481" width="11.28515625" style="34" bestFit="1" customWidth="1"/>
    <col min="9482" max="9482" width="9.140625" style="34" bestFit="1" customWidth="1"/>
    <col min="9483" max="9484" width="10.42578125" style="34" bestFit="1" customWidth="1"/>
    <col min="9485" max="9485" width="11.5703125" style="34" bestFit="1" customWidth="1"/>
    <col min="9486" max="9486" width="11" style="34" bestFit="1" customWidth="1"/>
    <col min="9487" max="9487" width="11.42578125" style="34" bestFit="1" customWidth="1"/>
    <col min="9488" max="9488" width="12.5703125" style="34" bestFit="1" customWidth="1"/>
    <col min="9489" max="9489" width="12" style="34" bestFit="1" customWidth="1"/>
    <col min="9490" max="9514" width="0" style="34" hidden="1" customWidth="1"/>
    <col min="9515" max="9515" width="17.7109375" style="34" customWidth="1"/>
    <col min="9516" max="9552" width="11" style="34" customWidth="1"/>
    <col min="9553" max="9553" width="0" style="34" hidden="1" customWidth="1"/>
    <col min="9554" max="9695" width="11" style="34" customWidth="1"/>
    <col min="9696" max="9728" width="11" style="34"/>
    <col min="9729" max="9729" width="19.7109375" style="34" customWidth="1"/>
    <col min="9730" max="9730" width="12" style="34" bestFit="1" customWidth="1"/>
    <col min="9731" max="9731" width="10.28515625" style="34" bestFit="1" customWidth="1"/>
    <col min="9732" max="9732" width="9.7109375" style="34" bestFit="1" customWidth="1"/>
    <col min="9733" max="9733" width="11.140625" style="34" bestFit="1" customWidth="1"/>
    <col min="9734" max="9734" width="11.28515625" style="34" bestFit="1" customWidth="1"/>
    <col min="9735" max="9735" width="12" style="34" bestFit="1" customWidth="1"/>
    <col min="9736" max="9736" width="9.42578125" style="34" bestFit="1" customWidth="1"/>
    <col min="9737" max="9737" width="11.28515625" style="34" bestFit="1" customWidth="1"/>
    <col min="9738" max="9738" width="9.140625" style="34" bestFit="1" customWidth="1"/>
    <col min="9739" max="9740" width="10.42578125" style="34" bestFit="1" customWidth="1"/>
    <col min="9741" max="9741" width="11.5703125" style="34" bestFit="1" customWidth="1"/>
    <col min="9742" max="9742" width="11" style="34" bestFit="1" customWidth="1"/>
    <col min="9743" max="9743" width="11.42578125" style="34" bestFit="1" customWidth="1"/>
    <col min="9744" max="9744" width="12.5703125" style="34" bestFit="1" customWidth="1"/>
    <col min="9745" max="9745" width="12" style="34" bestFit="1" customWidth="1"/>
    <col min="9746" max="9770" width="0" style="34" hidden="1" customWidth="1"/>
    <col min="9771" max="9771" width="17.7109375" style="34" customWidth="1"/>
    <col min="9772" max="9808" width="11" style="34" customWidth="1"/>
    <col min="9809" max="9809" width="0" style="34" hidden="1" customWidth="1"/>
    <col min="9810" max="9951" width="11" style="34" customWidth="1"/>
    <col min="9952" max="9984" width="11" style="34"/>
    <col min="9985" max="9985" width="19.7109375" style="34" customWidth="1"/>
    <col min="9986" max="9986" width="12" style="34" bestFit="1" customWidth="1"/>
    <col min="9987" max="9987" width="10.28515625" style="34" bestFit="1" customWidth="1"/>
    <col min="9988" max="9988" width="9.7109375" style="34" bestFit="1" customWidth="1"/>
    <col min="9989" max="9989" width="11.140625" style="34" bestFit="1" customWidth="1"/>
    <col min="9990" max="9990" width="11.28515625" style="34" bestFit="1" customWidth="1"/>
    <col min="9991" max="9991" width="12" style="34" bestFit="1" customWidth="1"/>
    <col min="9992" max="9992" width="9.42578125" style="34" bestFit="1" customWidth="1"/>
    <col min="9993" max="9993" width="11.28515625" style="34" bestFit="1" customWidth="1"/>
    <col min="9994" max="9994" width="9.140625" style="34" bestFit="1" customWidth="1"/>
    <col min="9995" max="9996" width="10.42578125" style="34" bestFit="1" customWidth="1"/>
    <col min="9997" max="9997" width="11.5703125" style="34" bestFit="1" customWidth="1"/>
    <col min="9998" max="9998" width="11" style="34" bestFit="1" customWidth="1"/>
    <col min="9999" max="9999" width="11.42578125" style="34" bestFit="1" customWidth="1"/>
    <col min="10000" max="10000" width="12.5703125" style="34" bestFit="1" customWidth="1"/>
    <col min="10001" max="10001" width="12" style="34" bestFit="1" customWidth="1"/>
    <col min="10002" max="10026" width="0" style="34" hidden="1" customWidth="1"/>
    <col min="10027" max="10027" width="17.7109375" style="34" customWidth="1"/>
    <col min="10028" max="10064" width="11" style="34" customWidth="1"/>
    <col min="10065" max="10065" width="0" style="34" hidden="1" customWidth="1"/>
    <col min="10066" max="10207" width="11" style="34" customWidth="1"/>
    <col min="10208" max="10240" width="11" style="34"/>
    <col min="10241" max="10241" width="19.7109375" style="34" customWidth="1"/>
    <col min="10242" max="10242" width="12" style="34" bestFit="1" customWidth="1"/>
    <col min="10243" max="10243" width="10.28515625" style="34" bestFit="1" customWidth="1"/>
    <col min="10244" max="10244" width="9.7109375" style="34" bestFit="1" customWidth="1"/>
    <col min="10245" max="10245" width="11.140625" style="34" bestFit="1" customWidth="1"/>
    <col min="10246" max="10246" width="11.28515625" style="34" bestFit="1" customWidth="1"/>
    <col min="10247" max="10247" width="12" style="34" bestFit="1" customWidth="1"/>
    <col min="10248" max="10248" width="9.42578125" style="34" bestFit="1" customWidth="1"/>
    <col min="10249" max="10249" width="11.28515625" style="34" bestFit="1" customWidth="1"/>
    <col min="10250" max="10250" width="9.140625" style="34" bestFit="1" customWidth="1"/>
    <col min="10251" max="10252" width="10.42578125" style="34" bestFit="1" customWidth="1"/>
    <col min="10253" max="10253" width="11.5703125" style="34" bestFit="1" customWidth="1"/>
    <col min="10254" max="10254" width="11" style="34" bestFit="1" customWidth="1"/>
    <col min="10255" max="10255" width="11.42578125" style="34" bestFit="1" customWidth="1"/>
    <col min="10256" max="10256" width="12.5703125" style="34" bestFit="1" customWidth="1"/>
    <col min="10257" max="10257" width="12" style="34" bestFit="1" customWidth="1"/>
    <col min="10258" max="10282" width="0" style="34" hidden="1" customWidth="1"/>
    <col min="10283" max="10283" width="17.7109375" style="34" customWidth="1"/>
    <col min="10284" max="10320" width="11" style="34" customWidth="1"/>
    <col min="10321" max="10321" width="0" style="34" hidden="1" customWidth="1"/>
    <col min="10322" max="10463" width="11" style="34" customWidth="1"/>
    <col min="10464" max="10496" width="11" style="34"/>
    <col min="10497" max="10497" width="19.7109375" style="34" customWidth="1"/>
    <col min="10498" max="10498" width="12" style="34" bestFit="1" customWidth="1"/>
    <col min="10499" max="10499" width="10.28515625" style="34" bestFit="1" customWidth="1"/>
    <col min="10500" max="10500" width="9.7109375" style="34" bestFit="1" customWidth="1"/>
    <col min="10501" max="10501" width="11.140625" style="34" bestFit="1" customWidth="1"/>
    <col min="10502" max="10502" width="11.28515625" style="34" bestFit="1" customWidth="1"/>
    <col min="10503" max="10503" width="12" style="34" bestFit="1" customWidth="1"/>
    <col min="10504" max="10504" width="9.42578125" style="34" bestFit="1" customWidth="1"/>
    <col min="10505" max="10505" width="11.28515625" style="34" bestFit="1" customWidth="1"/>
    <col min="10506" max="10506" width="9.140625" style="34" bestFit="1" customWidth="1"/>
    <col min="10507" max="10508" width="10.42578125" style="34" bestFit="1" customWidth="1"/>
    <col min="10509" max="10509" width="11.5703125" style="34" bestFit="1" customWidth="1"/>
    <col min="10510" max="10510" width="11" style="34" bestFit="1" customWidth="1"/>
    <col min="10511" max="10511" width="11.42578125" style="34" bestFit="1" customWidth="1"/>
    <col min="10512" max="10512" width="12.5703125" style="34" bestFit="1" customWidth="1"/>
    <col min="10513" max="10513" width="12" style="34" bestFit="1" customWidth="1"/>
    <col min="10514" max="10538" width="0" style="34" hidden="1" customWidth="1"/>
    <col min="10539" max="10539" width="17.7109375" style="34" customWidth="1"/>
    <col min="10540" max="10576" width="11" style="34" customWidth="1"/>
    <col min="10577" max="10577" width="0" style="34" hidden="1" customWidth="1"/>
    <col min="10578" max="10719" width="11" style="34" customWidth="1"/>
    <col min="10720" max="10752" width="11" style="34"/>
    <col min="10753" max="10753" width="19.7109375" style="34" customWidth="1"/>
    <col min="10754" max="10754" width="12" style="34" bestFit="1" customWidth="1"/>
    <col min="10755" max="10755" width="10.28515625" style="34" bestFit="1" customWidth="1"/>
    <col min="10756" max="10756" width="9.7109375" style="34" bestFit="1" customWidth="1"/>
    <col min="10757" max="10757" width="11.140625" style="34" bestFit="1" customWidth="1"/>
    <col min="10758" max="10758" width="11.28515625" style="34" bestFit="1" customWidth="1"/>
    <col min="10759" max="10759" width="12" style="34" bestFit="1" customWidth="1"/>
    <col min="10760" max="10760" width="9.42578125" style="34" bestFit="1" customWidth="1"/>
    <col min="10761" max="10761" width="11.28515625" style="34" bestFit="1" customWidth="1"/>
    <col min="10762" max="10762" width="9.140625" style="34" bestFit="1" customWidth="1"/>
    <col min="10763" max="10764" width="10.42578125" style="34" bestFit="1" customWidth="1"/>
    <col min="10765" max="10765" width="11.5703125" style="34" bestFit="1" customWidth="1"/>
    <col min="10766" max="10766" width="11" style="34" bestFit="1" customWidth="1"/>
    <col min="10767" max="10767" width="11.42578125" style="34" bestFit="1" customWidth="1"/>
    <col min="10768" max="10768" width="12.5703125" style="34" bestFit="1" customWidth="1"/>
    <col min="10769" max="10769" width="12" style="34" bestFit="1" customWidth="1"/>
    <col min="10770" max="10794" width="0" style="34" hidden="1" customWidth="1"/>
    <col min="10795" max="10795" width="17.7109375" style="34" customWidth="1"/>
    <col min="10796" max="10832" width="11" style="34" customWidth="1"/>
    <col min="10833" max="10833" width="0" style="34" hidden="1" customWidth="1"/>
    <col min="10834" max="10975" width="11" style="34" customWidth="1"/>
    <col min="10976" max="11008" width="11" style="34"/>
    <col min="11009" max="11009" width="19.7109375" style="34" customWidth="1"/>
    <col min="11010" max="11010" width="12" style="34" bestFit="1" customWidth="1"/>
    <col min="11011" max="11011" width="10.28515625" style="34" bestFit="1" customWidth="1"/>
    <col min="11012" max="11012" width="9.7109375" style="34" bestFit="1" customWidth="1"/>
    <col min="11013" max="11013" width="11.140625" style="34" bestFit="1" customWidth="1"/>
    <col min="11014" max="11014" width="11.28515625" style="34" bestFit="1" customWidth="1"/>
    <col min="11015" max="11015" width="12" style="34" bestFit="1" customWidth="1"/>
    <col min="11016" max="11016" width="9.42578125" style="34" bestFit="1" customWidth="1"/>
    <col min="11017" max="11017" width="11.28515625" style="34" bestFit="1" customWidth="1"/>
    <col min="11018" max="11018" width="9.140625" style="34" bestFit="1" customWidth="1"/>
    <col min="11019" max="11020" width="10.42578125" style="34" bestFit="1" customWidth="1"/>
    <col min="11021" max="11021" width="11.5703125" style="34" bestFit="1" customWidth="1"/>
    <col min="11022" max="11022" width="11" style="34" bestFit="1" customWidth="1"/>
    <col min="11023" max="11023" width="11.42578125" style="34" bestFit="1" customWidth="1"/>
    <col min="11024" max="11024" width="12.5703125" style="34" bestFit="1" customWidth="1"/>
    <col min="11025" max="11025" width="12" style="34" bestFit="1" customWidth="1"/>
    <col min="11026" max="11050" width="0" style="34" hidden="1" customWidth="1"/>
    <col min="11051" max="11051" width="17.7109375" style="34" customWidth="1"/>
    <col min="11052" max="11088" width="11" style="34" customWidth="1"/>
    <col min="11089" max="11089" width="0" style="34" hidden="1" customWidth="1"/>
    <col min="11090" max="11231" width="11" style="34" customWidth="1"/>
    <col min="11232" max="11264" width="11" style="34"/>
    <col min="11265" max="11265" width="19.7109375" style="34" customWidth="1"/>
    <col min="11266" max="11266" width="12" style="34" bestFit="1" customWidth="1"/>
    <col min="11267" max="11267" width="10.28515625" style="34" bestFit="1" customWidth="1"/>
    <col min="11268" max="11268" width="9.7109375" style="34" bestFit="1" customWidth="1"/>
    <col min="11269" max="11269" width="11.140625" style="34" bestFit="1" customWidth="1"/>
    <col min="11270" max="11270" width="11.28515625" style="34" bestFit="1" customWidth="1"/>
    <col min="11271" max="11271" width="12" style="34" bestFit="1" customWidth="1"/>
    <col min="11272" max="11272" width="9.42578125" style="34" bestFit="1" customWidth="1"/>
    <col min="11273" max="11273" width="11.28515625" style="34" bestFit="1" customWidth="1"/>
    <col min="11274" max="11274" width="9.140625" style="34" bestFit="1" customWidth="1"/>
    <col min="11275" max="11276" width="10.42578125" style="34" bestFit="1" customWidth="1"/>
    <col min="11277" max="11277" width="11.5703125" style="34" bestFit="1" customWidth="1"/>
    <col min="11278" max="11278" width="11" style="34" bestFit="1" customWidth="1"/>
    <col min="11279" max="11279" width="11.42578125" style="34" bestFit="1" customWidth="1"/>
    <col min="11280" max="11280" width="12.5703125" style="34" bestFit="1" customWidth="1"/>
    <col min="11281" max="11281" width="12" style="34" bestFit="1" customWidth="1"/>
    <col min="11282" max="11306" width="0" style="34" hidden="1" customWidth="1"/>
    <col min="11307" max="11307" width="17.7109375" style="34" customWidth="1"/>
    <col min="11308" max="11344" width="11" style="34" customWidth="1"/>
    <col min="11345" max="11345" width="0" style="34" hidden="1" customWidth="1"/>
    <col min="11346" max="11487" width="11" style="34" customWidth="1"/>
    <col min="11488" max="11520" width="11" style="34"/>
    <col min="11521" max="11521" width="19.7109375" style="34" customWidth="1"/>
    <col min="11522" max="11522" width="12" style="34" bestFit="1" customWidth="1"/>
    <col min="11523" max="11523" width="10.28515625" style="34" bestFit="1" customWidth="1"/>
    <col min="11524" max="11524" width="9.7109375" style="34" bestFit="1" customWidth="1"/>
    <col min="11525" max="11525" width="11.140625" style="34" bestFit="1" customWidth="1"/>
    <col min="11526" max="11526" width="11.28515625" style="34" bestFit="1" customWidth="1"/>
    <col min="11527" max="11527" width="12" style="34" bestFit="1" customWidth="1"/>
    <col min="11528" max="11528" width="9.42578125" style="34" bestFit="1" customWidth="1"/>
    <col min="11529" max="11529" width="11.28515625" style="34" bestFit="1" customWidth="1"/>
    <col min="11530" max="11530" width="9.140625" style="34" bestFit="1" customWidth="1"/>
    <col min="11531" max="11532" width="10.42578125" style="34" bestFit="1" customWidth="1"/>
    <col min="11533" max="11533" width="11.5703125" style="34" bestFit="1" customWidth="1"/>
    <col min="11534" max="11534" width="11" style="34" bestFit="1" customWidth="1"/>
    <col min="11535" max="11535" width="11.42578125" style="34" bestFit="1" customWidth="1"/>
    <col min="11536" max="11536" width="12.5703125" style="34" bestFit="1" customWidth="1"/>
    <col min="11537" max="11537" width="12" style="34" bestFit="1" customWidth="1"/>
    <col min="11538" max="11562" width="0" style="34" hidden="1" customWidth="1"/>
    <col min="11563" max="11563" width="17.7109375" style="34" customWidth="1"/>
    <col min="11564" max="11600" width="11" style="34" customWidth="1"/>
    <col min="11601" max="11601" width="0" style="34" hidden="1" customWidth="1"/>
    <col min="11602" max="11743" width="11" style="34" customWidth="1"/>
    <col min="11744" max="11776" width="11" style="34"/>
    <col min="11777" max="11777" width="19.7109375" style="34" customWidth="1"/>
    <col min="11778" max="11778" width="12" style="34" bestFit="1" customWidth="1"/>
    <col min="11779" max="11779" width="10.28515625" style="34" bestFit="1" customWidth="1"/>
    <col min="11780" max="11780" width="9.7109375" style="34" bestFit="1" customWidth="1"/>
    <col min="11781" max="11781" width="11.140625" style="34" bestFit="1" customWidth="1"/>
    <col min="11782" max="11782" width="11.28515625" style="34" bestFit="1" customWidth="1"/>
    <col min="11783" max="11783" width="12" style="34" bestFit="1" customWidth="1"/>
    <col min="11784" max="11784" width="9.42578125" style="34" bestFit="1" customWidth="1"/>
    <col min="11785" max="11785" width="11.28515625" style="34" bestFit="1" customWidth="1"/>
    <col min="11786" max="11786" width="9.140625" style="34" bestFit="1" customWidth="1"/>
    <col min="11787" max="11788" width="10.42578125" style="34" bestFit="1" customWidth="1"/>
    <col min="11789" max="11789" width="11.5703125" style="34" bestFit="1" customWidth="1"/>
    <col min="11790" max="11790" width="11" style="34" bestFit="1" customWidth="1"/>
    <col min="11791" max="11791" width="11.42578125" style="34" bestFit="1" customWidth="1"/>
    <col min="11792" max="11792" width="12.5703125" style="34" bestFit="1" customWidth="1"/>
    <col min="11793" max="11793" width="12" style="34" bestFit="1" customWidth="1"/>
    <col min="11794" max="11818" width="0" style="34" hidden="1" customWidth="1"/>
    <col min="11819" max="11819" width="17.7109375" style="34" customWidth="1"/>
    <col min="11820" max="11856" width="11" style="34" customWidth="1"/>
    <col min="11857" max="11857" width="0" style="34" hidden="1" customWidth="1"/>
    <col min="11858" max="11999" width="11" style="34" customWidth="1"/>
    <col min="12000" max="12032" width="11" style="34"/>
    <col min="12033" max="12033" width="19.7109375" style="34" customWidth="1"/>
    <col min="12034" max="12034" width="12" style="34" bestFit="1" customWidth="1"/>
    <col min="12035" max="12035" width="10.28515625" style="34" bestFit="1" customWidth="1"/>
    <col min="12036" max="12036" width="9.7109375" style="34" bestFit="1" customWidth="1"/>
    <col min="12037" max="12037" width="11.140625" style="34" bestFit="1" customWidth="1"/>
    <col min="12038" max="12038" width="11.28515625" style="34" bestFit="1" customWidth="1"/>
    <col min="12039" max="12039" width="12" style="34" bestFit="1" customWidth="1"/>
    <col min="12040" max="12040" width="9.42578125" style="34" bestFit="1" customWidth="1"/>
    <col min="12041" max="12041" width="11.28515625" style="34" bestFit="1" customWidth="1"/>
    <col min="12042" max="12042" width="9.140625" style="34" bestFit="1" customWidth="1"/>
    <col min="12043" max="12044" width="10.42578125" style="34" bestFit="1" customWidth="1"/>
    <col min="12045" max="12045" width="11.5703125" style="34" bestFit="1" customWidth="1"/>
    <col min="12046" max="12046" width="11" style="34" bestFit="1" customWidth="1"/>
    <col min="12047" max="12047" width="11.42578125" style="34" bestFit="1" customWidth="1"/>
    <col min="12048" max="12048" width="12.5703125" style="34" bestFit="1" customWidth="1"/>
    <col min="12049" max="12049" width="12" style="34" bestFit="1" customWidth="1"/>
    <col min="12050" max="12074" width="0" style="34" hidden="1" customWidth="1"/>
    <col min="12075" max="12075" width="17.7109375" style="34" customWidth="1"/>
    <col min="12076" max="12112" width="11" style="34" customWidth="1"/>
    <col min="12113" max="12113" width="0" style="34" hidden="1" customWidth="1"/>
    <col min="12114" max="12255" width="11" style="34" customWidth="1"/>
    <col min="12256" max="12288" width="11" style="34"/>
    <col min="12289" max="12289" width="19.7109375" style="34" customWidth="1"/>
    <col min="12290" max="12290" width="12" style="34" bestFit="1" customWidth="1"/>
    <col min="12291" max="12291" width="10.28515625" style="34" bestFit="1" customWidth="1"/>
    <col min="12292" max="12292" width="9.7109375" style="34" bestFit="1" customWidth="1"/>
    <col min="12293" max="12293" width="11.140625" style="34" bestFit="1" customWidth="1"/>
    <col min="12294" max="12294" width="11.28515625" style="34" bestFit="1" customWidth="1"/>
    <col min="12295" max="12295" width="12" style="34" bestFit="1" customWidth="1"/>
    <col min="12296" max="12296" width="9.42578125" style="34" bestFit="1" customWidth="1"/>
    <col min="12297" max="12297" width="11.28515625" style="34" bestFit="1" customWidth="1"/>
    <col min="12298" max="12298" width="9.140625" style="34" bestFit="1" customWidth="1"/>
    <col min="12299" max="12300" width="10.42578125" style="34" bestFit="1" customWidth="1"/>
    <col min="12301" max="12301" width="11.5703125" style="34" bestFit="1" customWidth="1"/>
    <col min="12302" max="12302" width="11" style="34" bestFit="1" customWidth="1"/>
    <col min="12303" max="12303" width="11.42578125" style="34" bestFit="1" customWidth="1"/>
    <col min="12304" max="12304" width="12.5703125" style="34" bestFit="1" customWidth="1"/>
    <col min="12305" max="12305" width="12" style="34" bestFit="1" customWidth="1"/>
    <col min="12306" max="12330" width="0" style="34" hidden="1" customWidth="1"/>
    <col min="12331" max="12331" width="17.7109375" style="34" customWidth="1"/>
    <col min="12332" max="12368" width="11" style="34" customWidth="1"/>
    <col min="12369" max="12369" width="0" style="34" hidden="1" customWidth="1"/>
    <col min="12370" max="12511" width="11" style="34" customWidth="1"/>
    <col min="12512" max="12544" width="11" style="34"/>
    <col min="12545" max="12545" width="19.7109375" style="34" customWidth="1"/>
    <col min="12546" max="12546" width="12" style="34" bestFit="1" customWidth="1"/>
    <col min="12547" max="12547" width="10.28515625" style="34" bestFit="1" customWidth="1"/>
    <col min="12548" max="12548" width="9.7109375" style="34" bestFit="1" customWidth="1"/>
    <col min="12549" max="12549" width="11.140625" style="34" bestFit="1" customWidth="1"/>
    <col min="12550" max="12550" width="11.28515625" style="34" bestFit="1" customWidth="1"/>
    <col min="12551" max="12551" width="12" style="34" bestFit="1" customWidth="1"/>
    <col min="12552" max="12552" width="9.42578125" style="34" bestFit="1" customWidth="1"/>
    <col min="12553" max="12553" width="11.28515625" style="34" bestFit="1" customWidth="1"/>
    <col min="12554" max="12554" width="9.140625" style="34" bestFit="1" customWidth="1"/>
    <col min="12555" max="12556" width="10.42578125" style="34" bestFit="1" customWidth="1"/>
    <col min="12557" max="12557" width="11.5703125" style="34" bestFit="1" customWidth="1"/>
    <col min="12558" max="12558" width="11" style="34" bestFit="1" customWidth="1"/>
    <col min="12559" max="12559" width="11.42578125" style="34" bestFit="1" customWidth="1"/>
    <col min="12560" max="12560" width="12.5703125" style="34" bestFit="1" customWidth="1"/>
    <col min="12561" max="12561" width="12" style="34" bestFit="1" customWidth="1"/>
    <col min="12562" max="12586" width="0" style="34" hidden="1" customWidth="1"/>
    <col min="12587" max="12587" width="17.7109375" style="34" customWidth="1"/>
    <col min="12588" max="12624" width="11" style="34" customWidth="1"/>
    <col min="12625" max="12625" width="0" style="34" hidden="1" customWidth="1"/>
    <col min="12626" max="12767" width="11" style="34" customWidth="1"/>
    <col min="12768" max="12800" width="11" style="34"/>
    <col min="12801" max="12801" width="19.7109375" style="34" customWidth="1"/>
    <col min="12802" max="12802" width="12" style="34" bestFit="1" customWidth="1"/>
    <col min="12803" max="12803" width="10.28515625" style="34" bestFit="1" customWidth="1"/>
    <col min="12804" max="12804" width="9.7109375" style="34" bestFit="1" customWidth="1"/>
    <col min="12805" max="12805" width="11.140625" style="34" bestFit="1" customWidth="1"/>
    <col min="12806" max="12806" width="11.28515625" style="34" bestFit="1" customWidth="1"/>
    <col min="12807" max="12807" width="12" style="34" bestFit="1" customWidth="1"/>
    <col min="12808" max="12808" width="9.42578125" style="34" bestFit="1" customWidth="1"/>
    <col min="12809" max="12809" width="11.28515625" style="34" bestFit="1" customWidth="1"/>
    <col min="12810" max="12810" width="9.140625" style="34" bestFit="1" customWidth="1"/>
    <col min="12811" max="12812" width="10.42578125" style="34" bestFit="1" customWidth="1"/>
    <col min="12813" max="12813" width="11.5703125" style="34" bestFit="1" customWidth="1"/>
    <col min="12814" max="12814" width="11" style="34" bestFit="1" customWidth="1"/>
    <col min="12815" max="12815" width="11.42578125" style="34" bestFit="1" customWidth="1"/>
    <col min="12816" max="12816" width="12.5703125" style="34" bestFit="1" customWidth="1"/>
    <col min="12817" max="12817" width="12" style="34" bestFit="1" customWidth="1"/>
    <col min="12818" max="12842" width="0" style="34" hidden="1" customWidth="1"/>
    <col min="12843" max="12843" width="17.7109375" style="34" customWidth="1"/>
    <col min="12844" max="12880" width="11" style="34" customWidth="1"/>
    <col min="12881" max="12881" width="0" style="34" hidden="1" customWidth="1"/>
    <col min="12882" max="13023" width="11" style="34" customWidth="1"/>
    <col min="13024" max="13056" width="11" style="34"/>
    <col min="13057" max="13057" width="19.7109375" style="34" customWidth="1"/>
    <col min="13058" max="13058" width="12" style="34" bestFit="1" customWidth="1"/>
    <col min="13059" max="13059" width="10.28515625" style="34" bestFit="1" customWidth="1"/>
    <col min="13060" max="13060" width="9.7109375" style="34" bestFit="1" customWidth="1"/>
    <col min="13061" max="13061" width="11.140625" style="34" bestFit="1" customWidth="1"/>
    <col min="13062" max="13062" width="11.28515625" style="34" bestFit="1" customWidth="1"/>
    <col min="13063" max="13063" width="12" style="34" bestFit="1" customWidth="1"/>
    <col min="13064" max="13064" width="9.42578125" style="34" bestFit="1" customWidth="1"/>
    <col min="13065" max="13065" width="11.28515625" style="34" bestFit="1" customWidth="1"/>
    <col min="13066" max="13066" width="9.140625" style="34" bestFit="1" customWidth="1"/>
    <col min="13067" max="13068" width="10.42578125" style="34" bestFit="1" customWidth="1"/>
    <col min="13069" max="13069" width="11.5703125" style="34" bestFit="1" customWidth="1"/>
    <col min="13070" max="13070" width="11" style="34" bestFit="1" customWidth="1"/>
    <col min="13071" max="13071" width="11.42578125" style="34" bestFit="1" customWidth="1"/>
    <col min="13072" max="13072" width="12.5703125" style="34" bestFit="1" customWidth="1"/>
    <col min="13073" max="13073" width="12" style="34" bestFit="1" customWidth="1"/>
    <col min="13074" max="13098" width="0" style="34" hidden="1" customWidth="1"/>
    <col min="13099" max="13099" width="17.7109375" style="34" customWidth="1"/>
    <col min="13100" max="13136" width="11" style="34" customWidth="1"/>
    <col min="13137" max="13137" width="0" style="34" hidden="1" customWidth="1"/>
    <col min="13138" max="13279" width="11" style="34" customWidth="1"/>
    <col min="13280" max="13312" width="11" style="34"/>
    <col min="13313" max="13313" width="19.7109375" style="34" customWidth="1"/>
    <col min="13314" max="13314" width="12" style="34" bestFit="1" customWidth="1"/>
    <col min="13315" max="13315" width="10.28515625" style="34" bestFit="1" customWidth="1"/>
    <col min="13316" max="13316" width="9.7109375" style="34" bestFit="1" customWidth="1"/>
    <col min="13317" max="13317" width="11.140625" style="34" bestFit="1" customWidth="1"/>
    <col min="13318" max="13318" width="11.28515625" style="34" bestFit="1" customWidth="1"/>
    <col min="13319" max="13319" width="12" style="34" bestFit="1" customWidth="1"/>
    <col min="13320" max="13320" width="9.42578125" style="34" bestFit="1" customWidth="1"/>
    <col min="13321" max="13321" width="11.28515625" style="34" bestFit="1" customWidth="1"/>
    <col min="13322" max="13322" width="9.140625" style="34" bestFit="1" customWidth="1"/>
    <col min="13323" max="13324" width="10.42578125" style="34" bestFit="1" customWidth="1"/>
    <col min="13325" max="13325" width="11.5703125" style="34" bestFit="1" customWidth="1"/>
    <col min="13326" max="13326" width="11" style="34" bestFit="1" customWidth="1"/>
    <col min="13327" max="13327" width="11.42578125" style="34" bestFit="1" customWidth="1"/>
    <col min="13328" max="13328" width="12.5703125" style="34" bestFit="1" customWidth="1"/>
    <col min="13329" max="13329" width="12" style="34" bestFit="1" customWidth="1"/>
    <col min="13330" max="13354" width="0" style="34" hidden="1" customWidth="1"/>
    <col min="13355" max="13355" width="17.7109375" style="34" customWidth="1"/>
    <col min="13356" max="13392" width="11" style="34" customWidth="1"/>
    <col min="13393" max="13393" width="0" style="34" hidden="1" customWidth="1"/>
    <col min="13394" max="13535" width="11" style="34" customWidth="1"/>
    <col min="13536" max="13568" width="11" style="34"/>
    <col min="13569" max="13569" width="19.7109375" style="34" customWidth="1"/>
    <col min="13570" max="13570" width="12" style="34" bestFit="1" customWidth="1"/>
    <col min="13571" max="13571" width="10.28515625" style="34" bestFit="1" customWidth="1"/>
    <col min="13572" max="13572" width="9.7109375" style="34" bestFit="1" customWidth="1"/>
    <col min="13573" max="13573" width="11.140625" style="34" bestFit="1" customWidth="1"/>
    <col min="13574" max="13574" width="11.28515625" style="34" bestFit="1" customWidth="1"/>
    <col min="13575" max="13575" width="12" style="34" bestFit="1" customWidth="1"/>
    <col min="13576" max="13576" width="9.42578125" style="34" bestFit="1" customWidth="1"/>
    <col min="13577" max="13577" width="11.28515625" style="34" bestFit="1" customWidth="1"/>
    <col min="13578" max="13578" width="9.140625" style="34" bestFit="1" customWidth="1"/>
    <col min="13579" max="13580" width="10.42578125" style="34" bestFit="1" customWidth="1"/>
    <col min="13581" max="13581" width="11.5703125" style="34" bestFit="1" customWidth="1"/>
    <col min="13582" max="13582" width="11" style="34" bestFit="1" customWidth="1"/>
    <col min="13583" max="13583" width="11.42578125" style="34" bestFit="1" customWidth="1"/>
    <col min="13584" max="13584" width="12.5703125" style="34" bestFit="1" customWidth="1"/>
    <col min="13585" max="13585" width="12" style="34" bestFit="1" customWidth="1"/>
    <col min="13586" max="13610" width="0" style="34" hidden="1" customWidth="1"/>
    <col min="13611" max="13611" width="17.7109375" style="34" customWidth="1"/>
    <col min="13612" max="13648" width="11" style="34" customWidth="1"/>
    <col min="13649" max="13649" width="0" style="34" hidden="1" customWidth="1"/>
    <col min="13650" max="13791" width="11" style="34" customWidth="1"/>
    <col min="13792" max="13824" width="11" style="34"/>
    <col min="13825" max="13825" width="19.7109375" style="34" customWidth="1"/>
    <col min="13826" max="13826" width="12" style="34" bestFit="1" customWidth="1"/>
    <col min="13827" max="13827" width="10.28515625" style="34" bestFit="1" customWidth="1"/>
    <col min="13828" max="13828" width="9.7109375" style="34" bestFit="1" customWidth="1"/>
    <col min="13829" max="13829" width="11.140625" style="34" bestFit="1" customWidth="1"/>
    <col min="13830" max="13830" width="11.28515625" style="34" bestFit="1" customWidth="1"/>
    <col min="13831" max="13831" width="12" style="34" bestFit="1" customWidth="1"/>
    <col min="13832" max="13832" width="9.42578125" style="34" bestFit="1" customWidth="1"/>
    <col min="13833" max="13833" width="11.28515625" style="34" bestFit="1" customWidth="1"/>
    <col min="13834" max="13834" width="9.140625" style="34" bestFit="1" customWidth="1"/>
    <col min="13835" max="13836" width="10.42578125" style="34" bestFit="1" customWidth="1"/>
    <col min="13837" max="13837" width="11.5703125" style="34" bestFit="1" customWidth="1"/>
    <col min="13838" max="13838" width="11" style="34" bestFit="1" customWidth="1"/>
    <col min="13839" max="13839" width="11.42578125" style="34" bestFit="1" customWidth="1"/>
    <col min="13840" max="13840" width="12.5703125" style="34" bestFit="1" customWidth="1"/>
    <col min="13841" max="13841" width="12" style="34" bestFit="1" customWidth="1"/>
    <col min="13842" max="13866" width="0" style="34" hidden="1" customWidth="1"/>
    <col min="13867" max="13867" width="17.7109375" style="34" customWidth="1"/>
    <col min="13868" max="13904" width="11" style="34" customWidth="1"/>
    <col min="13905" max="13905" width="0" style="34" hidden="1" customWidth="1"/>
    <col min="13906" max="14047" width="11" style="34" customWidth="1"/>
    <col min="14048" max="14080" width="11" style="34"/>
    <col min="14081" max="14081" width="19.7109375" style="34" customWidth="1"/>
    <col min="14082" max="14082" width="12" style="34" bestFit="1" customWidth="1"/>
    <col min="14083" max="14083" width="10.28515625" style="34" bestFit="1" customWidth="1"/>
    <col min="14084" max="14084" width="9.7109375" style="34" bestFit="1" customWidth="1"/>
    <col min="14085" max="14085" width="11.140625" style="34" bestFit="1" customWidth="1"/>
    <col min="14086" max="14086" width="11.28515625" style="34" bestFit="1" customWidth="1"/>
    <col min="14087" max="14087" width="12" style="34" bestFit="1" customWidth="1"/>
    <col min="14088" max="14088" width="9.42578125" style="34" bestFit="1" customWidth="1"/>
    <col min="14089" max="14089" width="11.28515625" style="34" bestFit="1" customWidth="1"/>
    <col min="14090" max="14090" width="9.140625" style="34" bestFit="1" customWidth="1"/>
    <col min="14091" max="14092" width="10.42578125" style="34" bestFit="1" customWidth="1"/>
    <col min="14093" max="14093" width="11.5703125" style="34" bestFit="1" customWidth="1"/>
    <col min="14094" max="14094" width="11" style="34" bestFit="1" customWidth="1"/>
    <col min="14095" max="14095" width="11.42578125" style="34" bestFit="1" customWidth="1"/>
    <col min="14096" max="14096" width="12.5703125" style="34" bestFit="1" customWidth="1"/>
    <col min="14097" max="14097" width="12" style="34" bestFit="1" customWidth="1"/>
    <col min="14098" max="14122" width="0" style="34" hidden="1" customWidth="1"/>
    <col min="14123" max="14123" width="17.7109375" style="34" customWidth="1"/>
    <col min="14124" max="14160" width="11" style="34" customWidth="1"/>
    <col min="14161" max="14161" width="0" style="34" hidden="1" customWidth="1"/>
    <col min="14162" max="14303" width="11" style="34" customWidth="1"/>
    <col min="14304" max="14336" width="11" style="34"/>
    <col min="14337" max="14337" width="19.7109375" style="34" customWidth="1"/>
    <col min="14338" max="14338" width="12" style="34" bestFit="1" customWidth="1"/>
    <col min="14339" max="14339" width="10.28515625" style="34" bestFit="1" customWidth="1"/>
    <col min="14340" max="14340" width="9.7109375" style="34" bestFit="1" customWidth="1"/>
    <col min="14341" max="14341" width="11.140625" style="34" bestFit="1" customWidth="1"/>
    <col min="14342" max="14342" width="11.28515625" style="34" bestFit="1" customWidth="1"/>
    <col min="14343" max="14343" width="12" style="34" bestFit="1" customWidth="1"/>
    <col min="14344" max="14344" width="9.42578125" style="34" bestFit="1" customWidth="1"/>
    <col min="14345" max="14345" width="11.28515625" style="34" bestFit="1" customWidth="1"/>
    <col min="14346" max="14346" width="9.140625" style="34" bestFit="1" customWidth="1"/>
    <col min="14347" max="14348" width="10.42578125" style="34" bestFit="1" customWidth="1"/>
    <col min="14349" max="14349" width="11.5703125" style="34" bestFit="1" customWidth="1"/>
    <col min="14350" max="14350" width="11" style="34" bestFit="1" customWidth="1"/>
    <col min="14351" max="14351" width="11.42578125" style="34" bestFit="1" customWidth="1"/>
    <col min="14352" max="14352" width="12.5703125" style="34" bestFit="1" customWidth="1"/>
    <col min="14353" max="14353" width="12" style="34" bestFit="1" customWidth="1"/>
    <col min="14354" max="14378" width="0" style="34" hidden="1" customWidth="1"/>
    <col min="14379" max="14379" width="17.7109375" style="34" customWidth="1"/>
    <col min="14380" max="14416" width="11" style="34" customWidth="1"/>
    <col min="14417" max="14417" width="0" style="34" hidden="1" customWidth="1"/>
    <col min="14418" max="14559" width="11" style="34" customWidth="1"/>
    <col min="14560" max="14592" width="11" style="34"/>
    <col min="14593" max="14593" width="19.7109375" style="34" customWidth="1"/>
    <col min="14594" max="14594" width="12" style="34" bestFit="1" customWidth="1"/>
    <col min="14595" max="14595" width="10.28515625" style="34" bestFit="1" customWidth="1"/>
    <col min="14596" max="14596" width="9.7109375" style="34" bestFit="1" customWidth="1"/>
    <col min="14597" max="14597" width="11.140625" style="34" bestFit="1" customWidth="1"/>
    <col min="14598" max="14598" width="11.28515625" style="34" bestFit="1" customWidth="1"/>
    <col min="14599" max="14599" width="12" style="34" bestFit="1" customWidth="1"/>
    <col min="14600" max="14600" width="9.42578125" style="34" bestFit="1" customWidth="1"/>
    <col min="14601" max="14601" width="11.28515625" style="34" bestFit="1" customWidth="1"/>
    <col min="14602" max="14602" width="9.140625" style="34" bestFit="1" customWidth="1"/>
    <col min="14603" max="14604" width="10.42578125" style="34" bestFit="1" customWidth="1"/>
    <col min="14605" max="14605" width="11.5703125" style="34" bestFit="1" customWidth="1"/>
    <col min="14606" max="14606" width="11" style="34" bestFit="1" customWidth="1"/>
    <col min="14607" max="14607" width="11.42578125" style="34" bestFit="1" customWidth="1"/>
    <col min="14608" max="14608" width="12.5703125" style="34" bestFit="1" customWidth="1"/>
    <col min="14609" max="14609" width="12" style="34" bestFit="1" customWidth="1"/>
    <col min="14610" max="14634" width="0" style="34" hidden="1" customWidth="1"/>
    <col min="14635" max="14635" width="17.7109375" style="34" customWidth="1"/>
    <col min="14636" max="14672" width="11" style="34" customWidth="1"/>
    <col min="14673" max="14673" width="0" style="34" hidden="1" customWidth="1"/>
    <col min="14674" max="14815" width="11" style="34" customWidth="1"/>
    <col min="14816" max="14848" width="11" style="34"/>
    <col min="14849" max="14849" width="19.7109375" style="34" customWidth="1"/>
    <col min="14850" max="14850" width="12" style="34" bestFit="1" customWidth="1"/>
    <col min="14851" max="14851" width="10.28515625" style="34" bestFit="1" customWidth="1"/>
    <col min="14852" max="14852" width="9.7109375" style="34" bestFit="1" customWidth="1"/>
    <col min="14853" max="14853" width="11.140625" style="34" bestFit="1" customWidth="1"/>
    <col min="14854" max="14854" width="11.28515625" style="34" bestFit="1" customWidth="1"/>
    <col min="14855" max="14855" width="12" style="34" bestFit="1" customWidth="1"/>
    <col min="14856" max="14856" width="9.42578125" style="34" bestFit="1" customWidth="1"/>
    <col min="14857" max="14857" width="11.28515625" style="34" bestFit="1" customWidth="1"/>
    <col min="14858" max="14858" width="9.140625" style="34" bestFit="1" customWidth="1"/>
    <col min="14859" max="14860" width="10.42578125" style="34" bestFit="1" customWidth="1"/>
    <col min="14861" max="14861" width="11.5703125" style="34" bestFit="1" customWidth="1"/>
    <col min="14862" max="14862" width="11" style="34" bestFit="1" customWidth="1"/>
    <col min="14863" max="14863" width="11.42578125" style="34" bestFit="1" customWidth="1"/>
    <col min="14864" max="14864" width="12.5703125" style="34" bestFit="1" customWidth="1"/>
    <col min="14865" max="14865" width="12" style="34" bestFit="1" customWidth="1"/>
    <col min="14866" max="14890" width="0" style="34" hidden="1" customWidth="1"/>
    <col min="14891" max="14891" width="17.7109375" style="34" customWidth="1"/>
    <col min="14892" max="14928" width="11" style="34" customWidth="1"/>
    <col min="14929" max="14929" width="0" style="34" hidden="1" customWidth="1"/>
    <col min="14930" max="15071" width="11" style="34" customWidth="1"/>
    <col min="15072" max="15104" width="11" style="34"/>
    <col min="15105" max="15105" width="19.7109375" style="34" customWidth="1"/>
    <col min="15106" max="15106" width="12" style="34" bestFit="1" customWidth="1"/>
    <col min="15107" max="15107" width="10.28515625" style="34" bestFit="1" customWidth="1"/>
    <col min="15108" max="15108" width="9.7109375" style="34" bestFit="1" customWidth="1"/>
    <col min="15109" max="15109" width="11.140625" style="34" bestFit="1" customWidth="1"/>
    <col min="15110" max="15110" width="11.28515625" style="34" bestFit="1" customWidth="1"/>
    <col min="15111" max="15111" width="12" style="34" bestFit="1" customWidth="1"/>
    <col min="15112" max="15112" width="9.42578125" style="34" bestFit="1" customWidth="1"/>
    <col min="15113" max="15113" width="11.28515625" style="34" bestFit="1" customWidth="1"/>
    <col min="15114" max="15114" width="9.140625" style="34" bestFit="1" customWidth="1"/>
    <col min="15115" max="15116" width="10.42578125" style="34" bestFit="1" customWidth="1"/>
    <col min="15117" max="15117" width="11.5703125" style="34" bestFit="1" customWidth="1"/>
    <col min="15118" max="15118" width="11" style="34" bestFit="1" customWidth="1"/>
    <col min="15119" max="15119" width="11.42578125" style="34" bestFit="1" customWidth="1"/>
    <col min="15120" max="15120" width="12.5703125" style="34" bestFit="1" customWidth="1"/>
    <col min="15121" max="15121" width="12" style="34" bestFit="1" customWidth="1"/>
    <col min="15122" max="15146" width="0" style="34" hidden="1" customWidth="1"/>
    <col min="15147" max="15147" width="17.7109375" style="34" customWidth="1"/>
    <col min="15148" max="15184" width="11" style="34" customWidth="1"/>
    <col min="15185" max="15185" width="0" style="34" hidden="1" customWidth="1"/>
    <col min="15186" max="15327" width="11" style="34" customWidth="1"/>
    <col min="15328" max="15360" width="11" style="34"/>
    <col min="15361" max="15361" width="19.7109375" style="34" customWidth="1"/>
    <col min="15362" max="15362" width="12" style="34" bestFit="1" customWidth="1"/>
    <col min="15363" max="15363" width="10.28515625" style="34" bestFit="1" customWidth="1"/>
    <col min="15364" max="15364" width="9.7109375" style="34" bestFit="1" customWidth="1"/>
    <col min="15365" max="15365" width="11.140625" style="34" bestFit="1" customWidth="1"/>
    <col min="15366" max="15366" width="11.28515625" style="34" bestFit="1" customWidth="1"/>
    <col min="15367" max="15367" width="12" style="34" bestFit="1" customWidth="1"/>
    <col min="15368" max="15368" width="9.42578125" style="34" bestFit="1" customWidth="1"/>
    <col min="15369" max="15369" width="11.28515625" style="34" bestFit="1" customWidth="1"/>
    <col min="15370" max="15370" width="9.140625" style="34" bestFit="1" customWidth="1"/>
    <col min="15371" max="15372" width="10.42578125" style="34" bestFit="1" customWidth="1"/>
    <col min="15373" max="15373" width="11.5703125" style="34" bestFit="1" customWidth="1"/>
    <col min="15374" max="15374" width="11" style="34" bestFit="1" customWidth="1"/>
    <col min="15375" max="15375" width="11.42578125" style="34" bestFit="1" customWidth="1"/>
    <col min="15376" max="15376" width="12.5703125" style="34" bestFit="1" customWidth="1"/>
    <col min="15377" max="15377" width="12" style="34" bestFit="1" customWidth="1"/>
    <col min="15378" max="15402" width="0" style="34" hidden="1" customWidth="1"/>
    <col min="15403" max="15403" width="17.7109375" style="34" customWidth="1"/>
    <col min="15404" max="15440" width="11" style="34" customWidth="1"/>
    <col min="15441" max="15441" width="0" style="34" hidden="1" customWidth="1"/>
    <col min="15442" max="15583" width="11" style="34" customWidth="1"/>
    <col min="15584" max="15616" width="11" style="34"/>
    <col min="15617" max="15617" width="19.7109375" style="34" customWidth="1"/>
    <col min="15618" max="15618" width="12" style="34" bestFit="1" customWidth="1"/>
    <col min="15619" max="15619" width="10.28515625" style="34" bestFit="1" customWidth="1"/>
    <col min="15620" max="15620" width="9.7109375" style="34" bestFit="1" customWidth="1"/>
    <col min="15621" max="15621" width="11.140625" style="34" bestFit="1" customWidth="1"/>
    <col min="15622" max="15622" width="11.28515625" style="34" bestFit="1" customWidth="1"/>
    <col min="15623" max="15623" width="12" style="34" bestFit="1" customWidth="1"/>
    <col min="15624" max="15624" width="9.42578125" style="34" bestFit="1" customWidth="1"/>
    <col min="15625" max="15625" width="11.28515625" style="34" bestFit="1" customWidth="1"/>
    <col min="15626" max="15626" width="9.140625" style="34" bestFit="1" customWidth="1"/>
    <col min="15627" max="15628" width="10.42578125" style="34" bestFit="1" customWidth="1"/>
    <col min="15629" max="15629" width="11.5703125" style="34" bestFit="1" customWidth="1"/>
    <col min="15630" max="15630" width="11" style="34" bestFit="1" customWidth="1"/>
    <col min="15631" max="15631" width="11.42578125" style="34" bestFit="1" customWidth="1"/>
    <col min="15632" max="15632" width="12.5703125" style="34" bestFit="1" customWidth="1"/>
    <col min="15633" max="15633" width="12" style="34" bestFit="1" customWidth="1"/>
    <col min="15634" max="15658" width="0" style="34" hidden="1" customWidth="1"/>
    <col min="15659" max="15659" width="17.7109375" style="34" customWidth="1"/>
    <col min="15660" max="15696" width="11" style="34" customWidth="1"/>
    <col min="15697" max="15697" width="0" style="34" hidden="1" customWidth="1"/>
    <col min="15698" max="15839" width="11" style="34" customWidth="1"/>
    <col min="15840" max="15872" width="11" style="34"/>
    <col min="15873" max="15873" width="19.7109375" style="34" customWidth="1"/>
    <col min="15874" max="15874" width="12" style="34" bestFit="1" customWidth="1"/>
    <col min="15875" max="15875" width="10.28515625" style="34" bestFit="1" customWidth="1"/>
    <col min="15876" max="15876" width="9.7109375" style="34" bestFit="1" customWidth="1"/>
    <col min="15877" max="15877" width="11.140625" style="34" bestFit="1" customWidth="1"/>
    <col min="15878" max="15878" width="11.28515625" style="34" bestFit="1" customWidth="1"/>
    <col min="15879" max="15879" width="12" style="34" bestFit="1" customWidth="1"/>
    <col min="15880" max="15880" width="9.42578125" style="34" bestFit="1" customWidth="1"/>
    <col min="15881" max="15881" width="11.28515625" style="34" bestFit="1" customWidth="1"/>
    <col min="15882" max="15882" width="9.140625" style="34" bestFit="1" customWidth="1"/>
    <col min="15883" max="15884" width="10.42578125" style="34" bestFit="1" customWidth="1"/>
    <col min="15885" max="15885" width="11.5703125" style="34" bestFit="1" customWidth="1"/>
    <col min="15886" max="15886" width="11" style="34" bestFit="1" customWidth="1"/>
    <col min="15887" max="15887" width="11.42578125" style="34" bestFit="1" customWidth="1"/>
    <col min="15888" max="15888" width="12.5703125" style="34" bestFit="1" customWidth="1"/>
    <col min="15889" max="15889" width="12" style="34" bestFit="1" customWidth="1"/>
    <col min="15890" max="15914" width="0" style="34" hidden="1" customWidth="1"/>
    <col min="15915" max="15915" width="17.7109375" style="34" customWidth="1"/>
    <col min="15916" max="15952" width="11" style="34" customWidth="1"/>
    <col min="15953" max="15953" width="0" style="34" hidden="1" customWidth="1"/>
    <col min="15954" max="16095" width="11" style="34" customWidth="1"/>
    <col min="16096" max="16128" width="11" style="34"/>
    <col min="16129" max="16129" width="19.7109375" style="34" customWidth="1"/>
    <col min="16130" max="16130" width="12" style="34" bestFit="1" customWidth="1"/>
    <col min="16131" max="16131" width="10.28515625" style="34" bestFit="1" customWidth="1"/>
    <col min="16132" max="16132" width="9.7109375" style="34" bestFit="1" customWidth="1"/>
    <col min="16133" max="16133" width="11.140625" style="34" bestFit="1" customWidth="1"/>
    <col min="16134" max="16134" width="11.28515625" style="34" bestFit="1" customWidth="1"/>
    <col min="16135" max="16135" width="12" style="34" bestFit="1" customWidth="1"/>
    <col min="16136" max="16136" width="9.42578125" style="34" bestFit="1" customWidth="1"/>
    <col min="16137" max="16137" width="11.28515625" style="34" bestFit="1" customWidth="1"/>
    <col min="16138" max="16138" width="9.140625" style="34" bestFit="1" customWidth="1"/>
    <col min="16139" max="16140" width="10.42578125" style="34" bestFit="1" customWidth="1"/>
    <col min="16141" max="16141" width="11.5703125" style="34" bestFit="1" customWidth="1"/>
    <col min="16142" max="16142" width="11" style="34" bestFit="1" customWidth="1"/>
    <col min="16143" max="16143" width="11.42578125" style="34" bestFit="1" customWidth="1"/>
    <col min="16144" max="16144" width="12.5703125" style="34" bestFit="1" customWidth="1"/>
    <col min="16145" max="16145" width="12" style="34" bestFit="1" customWidth="1"/>
    <col min="16146" max="16170" width="0" style="34" hidden="1" customWidth="1"/>
    <col min="16171" max="16171" width="17.7109375" style="34" customWidth="1"/>
    <col min="16172" max="16208" width="11" style="34" customWidth="1"/>
    <col min="16209" max="16209" width="0" style="34" hidden="1" customWidth="1"/>
    <col min="16210" max="16351" width="11" style="34" customWidth="1"/>
    <col min="16352" max="16384" width="11" style="34"/>
  </cols>
  <sheetData>
    <row r="1" spans="1:43" ht="13.5" customHeight="1" x14ac:dyDescent="0.2">
      <c r="A1" s="287" t="s">
        <v>0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36"/>
      <c r="S1" s="35"/>
      <c r="T1" s="35"/>
      <c r="U1" s="35"/>
      <c r="V1" s="35"/>
    </row>
    <row r="2" spans="1:43" ht="14.25" x14ac:dyDescent="0.2">
      <c r="A2" s="287" t="s">
        <v>410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33"/>
      <c r="S2" s="35"/>
      <c r="T2" s="35"/>
      <c r="U2" s="35"/>
      <c r="V2" s="35"/>
    </row>
    <row r="3" spans="1:43" ht="14.25" x14ac:dyDescent="0.2">
      <c r="A3" s="287" t="s">
        <v>433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33"/>
      <c r="S3" s="35"/>
      <c r="T3" s="35"/>
      <c r="U3" s="35"/>
      <c r="V3" s="35"/>
    </row>
    <row r="4" spans="1:43" s="39" customFormat="1" ht="9" thickBot="1" x14ac:dyDescent="0.2">
      <c r="A4" s="288"/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38"/>
      <c r="S4" s="38"/>
      <c r="T4" s="38"/>
      <c r="U4" s="38"/>
      <c r="V4" s="38"/>
    </row>
    <row r="5" spans="1:43" s="43" customFormat="1" ht="14.25" x14ac:dyDescent="0.2">
      <c r="A5" s="117"/>
      <c r="B5" s="118" t="s">
        <v>18</v>
      </c>
      <c r="C5" s="118" t="s">
        <v>67</v>
      </c>
      <c r="D5" s="118" t="s">
        <v>411</v>
      </c>
      <c r="E5" s="119" t="s">
        <v>411</v>
      </c>
      <c r="F5" s="118"/>
      <c r="G5" s="118"/>
      <c r="H5" s="120" t="s">
        <v>412</v>
      </c>
      <c r="I5" s="120" t="s">
        <v>11</v>
      </c>
      <c r="J5" s="120" t="s">
        <v>11</v>
      </c>
      <c r="K5" s="118"/>
      <c r="L5" s="118"/>
      <c r="M5" s="118"/>
      <c r="N5" s="118"/>
      <c r="O5" s="121" t="s">
        <v>434</v>
      </c>
      <c r="P5" s="118"/>
      <c r="Q5" s="122"/>
      <c r="R5" s="40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2" t="s">
        <v>413</v>
      </c>
    </row>
    <row r="6" spans="1:43" s="43" customFormat="1" ht="14.25" x14ac:dyDescent="0.2">
      <c r="A6" s="157"/>
      <c r="B6" s="123" t="s">
        <v>411</v>
      </c>
      <c r="C6" s="123" t="s">
        <v>411</v>
      </c>
      <c r="D6" s="123" t="s">
        <v>414</v>
      </c>
      <c r="E6" s="124" t="s">
        <v>435</v>
      </c>
      <c r="F6" s="123" t="s">
        <v>66</v>
      </c>
      <c r="G6" s="123" t="s">
        <v>11</v>
      </c>
      <c r="H6" s="125" t="s">
        <v>11</v>
      </c>
      <c r="I6" s="125" t="s">
        <v>415</v>
      </c>
      <c r="J6" s="125" t="s">
        <v>414</v>
      </c>
      <c r="K6" s="123" t="s">
        <v>11</v>
      </c>
      <c r="L6" s="123" t="s">
        <v>66</v>
      </c>
      <c r="M6" s="123" t="s">
        <v>416</v>
      </c>
      <c r="N6" s="123" t="s">
        <v>417</v>
      </c>
      <c r="O6" s="126" t="s">
        <v>436</v>
      </c>
      <c r="P6" s="123"/>
      <c r="Q6" s="127" t="s">
        <v>418</v>
      </c>
      <c r="R6" s="45"/>
      <c r="S6" s="46"/>
      <c r="T6" s="46"/>
      <c r="U6" s="46"/>
      <c r="V6" s="46"/>
      <c r="W6" s="46" t="s">
        <v>437</v>
      </c>
      <c r="X6" s="46" t="s">
        <v>438</v>
      </c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4" t="s">
        <v>419</v>
      </c>
    </row>
    <row r="7" spans="1:43" s="43" customFormat="1" ht="15" thickBot="1" x14ac:dyDescent="0.25">
      <c r="A7" s="128" t="s">
        <v>20</v>
      </c>
      <c r="B7" s="129" t="s">
        <v>420</v>
      </c>
      <c r="C7" s="129" t="s">
        <v>421</v>
      </c>
      <c r="D7" s="129" t="s">
        <v>421</v>
      </c>
      <c r="E7" s="129" t="s">
        <v>422</v>
      </c>
      <c r="F7" s="130" t="s">
        <v>411</v>
      </c>
      <c r="G7" s="129" t="s">
        <v>420</v>
      </c>
      <c r="H7" s="130" t="s">
        <v>421</v>
      </c>
      <c r="I7" s="130" t="s">
        <v>423</v>
      </c>
      <c r="J7" s="130" t="s">
        <v>421</v>
      </c>
      <c r="K7" s="129" t="s">
        <v>439</v>
      </c>
      <c r="L7" s="130" t="s">
        <v>11</v>
      </c>
      <c r="M7" s="129" t="s">
        <v>20</v>
      </c>
      <c r="N7" s="129" t="s">
        <v>424</v>
      </c>
      <c r="O7" s="131" t="s">
        <v>440</v>
      </c>
      <c r="P7" s="129" t="s">
        <v>425</v>
      </c>
      <c r="Q7" s="132" t="s">
        <v>426</v>
      </c>
      <c r="R7" s="47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9" t="s">
        <v>441</v>
      </c>
    </row>
    <row r="8" spans="1:43" s="43" customFormat="1" ht="12.75" x14ac:dyDescent="0.15">
      <c r="A8" s="67" t="s">
        <v>21</v>
      </c>
      <c r="B8" s="133">
        <f>SUM(B9:B14)</f>
        <v>440793309.24000001</v>
      </c>
      <c r="C8" s="133">
        <f>SUM(C9:C14)</f>
        <v>76167662.510000005</v>
      </c>
      <c r="D8" s="133">
        <f>SUM(D9:D14)</f>
        <v>45124479.25</v>
      </c>
      <c r="E8" s="133">
        <f>SUM(E9:E14)</f>
        <v>0</v>
      </c>
      <c r="F8" s="133">
        <f>SUM(F9:F14)</f>
        <v>562085451</v>
      </c>
      <c r="G8" s="133">
        <f t="shared" ref="G8:AQ8" si="0">SUM(G9:G14)</f>
        <v>52193841.631161518</v>
      </c>
      <c r="H8" s="133">
        <f t="shared" si="0"/>
        <v>19362615.109999999</v>
      </c>
      <c r="I8" s="133">
        <f t="shared" si="0"/>
        <v>263738745.12</v>
      </c>
      <c r="J8" s="133">
        <f t="shared" si="0"/>
        <v>24348388.369999997</v>
      </c>
      <c r="K8" s="133">
        <f t="shared" si="0"/>
        <v>0</v>
      </c>
      <c r="L8" s="133">
        <f t="shared" si="0"/>
        <v>359643590.23116153</v>
      </c>
      <c r="M8" s="133">
        <f t="shared" si="0"/>
        <v>202441860.7688385</v>
      </c>
      <c r="N8" s="133">
        <f t="shared" si="0"/>
        <v>-111661127.39294234</v>
      </c>
      <c r="O8" s="133">
        <f t="shared" si="0"/>
        <v>90780733.375896156</v>
      </c>
      <c r="P8" s="133">
        <f t="shared" si="0"/>
        <v>7205067905.6599998</v>
      </c>
      <c r="Q8" s="133">
        <f>SUM(Q9:Q14)</f>
        <v>7562617301.1957674</v>
      </c>
      <c r="R8" s="50">
        <f t="shared" si="0"/>
        <v>20596879.02</v>
      </c>
      <c r="S8" s="50">
        <f t="shared" si="0"/>
        <v>20596857.309561931</v>
      </c>
      <c r="T8" s="50">
        <f t="shared" si="0"/>
        <v>14087422840.361</v>
      </c>
      <c r="U8" s="50">
        <f t="shared" si="0"/>
        <v>-120769341.21289568</v>
      </c>
      <c r="V8" s="50">
        <f t="shared" si="0"/>
        <v>20596879.02</v>
      </c>
      <c r="W8" s="50">
        <f t="shared" si="0"/>
        <v>1454322787.5116968</v>
      </c>
      <c r="X8" s="50">
        <f t="shared" si="0"/>
        <v>20596879.02</v>
      </c>
      <c r="Y8" s="50">
        <f t="shared" si="0"/>
        <v>20596879.02</v>
      </c>
      <c r="Z8" s="50">
        <f t="shared" si="0"/>
        <v>20596879.02</v>
      </c>
      <c r="AA8" s="50">
        <f t="shared" si="0"/>
        <v>20596879.02</v>
      </c>
      <c r="AB8" s="50">
        <f t="shared" si="0"/>
        <v>20596879.02</v>
      </c>
      <c r="AC8" s="50">
        <f t="shared" si="0"/>
        <v>20596879.02</v>
      </c>
      <c r="AD8" s="50">
        <f t="shared" si="0"/>
        <v>20596879.02</v>
      </c>
      <c r="AE8" s="50">
        <f t="shared" si="0"/>
        <v>20596879.02</v>
      </c>
      <c r="AF8" s="50">
        <f t="shared" si="0"/>
        <v>20596879.02</v>
      </c>
      <c r="AG8" s="50">
        <f t="shared" si="0"/>
        <v>20596879.02</v>
      </c>
      <c r="AH8" s="50">
        <f t="shared" si="0"/>
        <v>20596879.02</v>
      </c>
      <c r="AI8" s="50">
        <f t="shared" si="0"/>
        <v>20596879.02</v>
      </c>
      <c r="AJ8" s="50">
        <f t="shared" si="0"/>
        <v>20596879.02</v>
      </c>
      <c r="AK8" s="50">
        <f t="shared" si="0"/>
        <v>20596879.02</v>
      </c>
      <c r="AL8" s="50">
        <f t="shared" si="0"/>
        <v>20596879.02</v>
      </c>
      <c r="AM8" s="50">
        <f t="shared" si="0"/>
        <v>20596879.02</v>
      </c>
      <c r="AN8" s="50">
        <f t="shared" si="0"/>
        <v>20596879.02</v>
      </c>
      <c r="AO8" s="50">
        <f t="shared" si="0"/>
        <v>20596879.02</v>
      </c>
      <c r="AP8" s="50">
        <f t="shared" si="0"/>
        <v>20596879.02</v>
      </c>
      <c r="AQ8" s="50">
        <f t="shared" si="0"/>
        <v>145541510.37819564</v>
      </c>
    </row>
    <row r="9" spans="1:43" s="43" customFormat="1" ht="12.75" x14ac:dyDescent="0.15">
      <c r="A9" s="134" t="s">
        <v>22</v>
      </c>
      <c r="B9" s="135">
        <v>148555106.91</v>
      </c>
      <c r="C9" s="135">
        <v>20751516.140000001</v>
      </c>
      <c r="D9" s="135">
        <v>14520400.82</v>
      </c>
      <c r="E9" s="135">
        <v>0</v>
      </c>
      <c r="F9" s="136">
        <f>+B9+C9+D9</f>
        <v>183827023.87</v>
      </c>
      <c r="G9" s="136">
        <f t="shared" ref="G9:G22" si="1">+(P9/$P$49)*$G$55</f>
        <v>21806764.22550454</v>
      </c>
      <c r="H9" s="135">
        <v>14729088.869999999</v>
      </c>
      <c r="I9" s="135">
        <v>74349198.430000007</v>
      </c>
      <c r="J9" s="135">
        <v>8645339.7899999991</v>
      </c>
      <c r="K9" s="137">
        <v>0</v>
      </c>
      <c r="L9" s="138">
        <f>+G9+H9+I9+J9+K9</f>
        <v>119530391.31550455</v>
      </c>
      <c r="M9" s="138">
        <f>+F9-L9</f>
        <v>64296632.554495454</v>
      </c>
      <c r="N9" s="138">
        <f t="shared" ref="N9:N22" si="2">+P9/$P$49*$N$49</f>
        <v>-46652398.101276375</v>
      </c>
      <c r="O9" s="138">
        <f>SUM(M9:N9)</f>
        <v>17644234.453219078</v>
      </c>
      <c r="P9" s="138">
        <v>3010301831.3499999</v>
      </c>
      <c r="Q9" s="139">
        <f t="shared" ref="Q9:Q14" si="3">+((I9+G9)+AQ9)/((B9)/P9)</f>
        <v>3180692490.1845088</v>
      </c>
      <c r="R9" s="68"/>
      <c r="S9" s="68"/>
      <c r="T9" s="68">
        <f>(+P9+M9)/2</f>
        <v>1537299231.9522476</v>
      </c>
      <c r="U9" s="68">
        <v>-3693381.948941302</v>
      </c>
      <c r="V9" s="68"/>
      <c r="W9" s="65">
        <f>+G9+I9</f>
        <v>96155962.655504555</v>
      </c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56">
        <f t="shared" ref="AQ9:AQ14" si="4">+($G$47+$I$47)*(P9/$P$49)</f>
        <v>60807737.132464163</v>
      </c>
    </row>
    <row r="10" spans="1:43" s="43" customFormat="1" ht="12.75" x14ac:dyDescent="0.15">
      <c r="A10" s="134" t="s">
        <v>23</v>
      </c>
      <c r="B10" s="135">
        <v>58359192.75</v>
      </c>
      <c r="C10" s="135">
        <v>10675806.83</v>
      </c>
      <c r="D10" s="135">
        <v>5394342.4199999999</v>
      </c>
      <c r="E10" s="135">
        <v>0</v>
      </c>
      <c r="F10" s="136">
        <f>+B10+C10+D10</f>
        <v>74429342</v>
      </c>
      <c r="G10" s="136">
        <f t="shared" si="1"/>
        <v>6181941.5269476632</v>
      </c>
      <c r="H10" s="135">
        <v>1504309.36</v>
      </c>
      <c r="I10" s="135">
        <v>31458707.850000001</v>
      </c>
      <c r="J10" s="135">
        <v>991119.35</v>
      </c>
      <c r="K10" s="137">
        <v>0</v>
      </c>
      <c r="L10" s="138">
        <f t="shared" ref="L10:L36" si="5">+G10+H10+I10+J10+K10</f>
        <v>40136078.086947665</v>
      </c>
      <c r="M10" s="138">
        <f t="shared" ref="M10:M44" si="6">+F10-L10</f>
        <v>34293263.913052335</v>
      </c>
      <c r="N10" s="138">
        <f t="shared" si="2"/>
        <v>-13225364.119664665</v>
      </c>
      <c r="O10" s="138">
        <f>SUM(M10:N10)</f>
        <v>21067899.79338767</v>
      </c>
      <c r="P10" s="138">
        <v>853382450.85000002</v>
      </c>
      <c r="Q10" s="139">
        <f t="shared" si="3"/>
        <v>802489973.2372576</v>
      </c>
      <c r="R10" s="69"/>
      <c r="S10" s="70">
        <f>N47/X8</f>
        <v>-21.710438066164844</v>
      </c>
      <c r="T10" s="68">
        <f>(+P10+M10)/2</f>
        <v>443837857.38152617</v>
      </c>
      <c r="U10" s="68">
        <v>-4984371.0051460657</v>
      </c>
      <c r="V10" s="68"/>
      <c r="W10" s="65">
        <f>+G10+I10</f>
        <v>37640649.376947664</v>
      </c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56">
        <f t="shared" si="4"/>
        <v>17238223.491188329</v>
      </c>
    </row>
    <row r="11" spans="1:43" s="43" customFormat="1" ht="12.75" x14ac:dyDescent="0.15">
      <c r="A11" s="134" t="s">
        <v>24</v>
      </c>
      <c r="B11" s="135">
        <v>25936370.34</v>
      </c>
      <c r="C11" s="135">
        <v>6512223.5999999996</v>
      </c>
      <c r="D11" s="135">
        <v>4803783.22</v>
      </c>
      <c r="E11" s="135">
        <v>0</v>
      </c>
      <c r="F11" s="136">
        <f>+B11+C11+D11</f>
        <v>37252377.159999996</v>
      </c>
      <c r="G11" s="136">
        <f t="shared" si="1"/>
        <v>2974732.5053724963</v>
      </c>
      <c r="H11" s="135">
        <v>650712.46</v>
      </c>
      <c r="I11" s="135">
        <v>24345975.93</v>
      </c>
      <c r="J11" s="135">
        <v>2818402.59</v>
      </c>
      <c r="K11" s="137">
        <v>0</v>
      </c>
      <c r="L11" s="138">
        <f t="shared" si="5"/>
        <v>30789823.485372495</v>
      </c>
      <c r="M11" s="138">
        <f>+F11-L11</f>
        <v>6462553.6746275015</v>
      </c>
      <c r="N11" s="138">
        <f t="shared" si="2"/>
        <v>-6364007.2250212124</v>
      </c>
      <c r="O11" s="138">
        <f t="shared" ref="O11:O44" si="7">SUM(M11:N11)</f>
        <v>98546.449606289156</v>
      </c>
      <c r="P11" s="138">
        <v>410645184.04000002</v>
      </c>
      <c r="Q11" s="139">
        <f t="shared" si="3"/>
        <v>563895881.73955011</v>
      </c>
      <c r="R11" s="68"/>
      <c r="S11" s="68"/>
      <c r="T11" s="68">
        <f>(+P11+M11)/2</f>
        <v>208553868.85731375</v>
      </c>
      <c r="U11" s="68">
        <v>-3681170.2288073376</v>
      </c>
      <c r="V11" s="68"/>
      <c r="W11" s="65">
        <f>+G11+I11</f>
        <v>27320708.435372494</v>
      </c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56">
        <f t="shared" si="4"/>
        <v>8294983.627810658</v>
      </c>
    </row>
    <row r="12" spans="1:43" s="43" customFormat="1" ht="12.75" x14ac:dyDescent="0.15">
      <c r="A12" s="134" t="s">
        <v>25</v>
      </c>
      <c r="B12" s="135">
        <v>27118428.960000001</v>
      </c>
      <c r="C12" s="135">
        <v>5212663.0999999996</v>
      </c>
      <c r="D12" s="135">
        <v>2788781.56</v>
      </c>
      <c r="E12" s="135">
        <v>0</v>
      </c>
      <c r="F12" s="136">
        <f>+B12+C12+D12+E12</f>
        <v>35119873.620000005</v>
      </c>
      <c r="G12" s="136">
        <f t="shared" si="1"/>
        <v>2755937.9486495703</v>
      </c>
      <c r="H12" s="135">
        <v>976062.19</v>
      </c>
      <c r="I12" s="135">
        <v>29609111.059999999</v>
      </c>
      <c r="J12" s="135">
        <v>1598379.15</v>
      </c>
      <c r="K12" s="137">
        <v>0</v>
      </c>
      <c r="L12" s="138">
        <f t="shared" si="5"/>
        <v>34939490.348649569</v>
      </c>
      <c r="M12" s="138">
        <f>+F12-L12</f>
        <v>180383.27135043591</v>
      </c>
      <c r="N12" s="138">
        <f t="shared" si="2"/>
        <v>-5895928.1163063068</v>
      </c>
      <c r="O12" s="138">
        <f>SUM(M12:N12)</f>
        <v>-5715544.8449558709</v>
      </c>
      <c r="P12" s="138">
        <v>380441819.25</v>
      </c>
      <c r="Q12" s="139">
        <f t="shared" si="3"/>
        <v>561856573.5317862</v>
      </c>
      <c r="R12" s="68"/>
      <c r="S12" s="68"/>
      <c r="T12" s="68">
        <f>(+P12+M12)/2</f>
        <v>190311101.26067522</v>
      </c>
      <c r="U12" s="68">
        <v>-2654050.5881739804</v>
      </c>
      <c r="V12" s="68"/>
      <c r="W12" s="65">
        <f>+G12+I12</f>
        <v>32365049.008649569</v>
      </c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56">
        <f t="shared" si="4"/>
        <v>7684879.269656444</v>
      </c>
    </row>
    <row r="13" spans="1:43" s="43" customFormat="1" ht="12.75" x14ac:dyDescent="0.15">
      <c r="A13" s="134" t="s">
        <v>26</v>
      </c>
      <c r="B13" s="135">
        <v>59193265.920000002</v>
      </c>
      <c r="C13" s="135">
        <v>10311999.08</v>
      </c>
      <c r="D13" s="135">
        <v>5304792.01</v>
      </c>
      <c r="E13" s="135">
        <v>0</v>
      </c>
      <c r="F13" s="136">
        <f>+B13+C13+D13+E13</f>
        <v>74810057.010000005</v>
      </c>
      <c r="G13" s="136">
        <f t="shared" si="1"/>
        <v>6054715.2959153224</v>
      </c>
      <c r="H13" s="135">
        <v>689677.29</v>
      </c>
      <c r="I13" s="135">
        <v>38651833.060000002</v>
      </c>
      <c r="J13" s="135">
        <v>5363388.8099999996</v>
      </c>
      <c r="K13" s="137">
        <v>0</v>
      </c>
      <c r="L13" s="138">
        <f t="shared" si="5"/>
        <v>50759614.455915324</v>
      </c>
      <c r="M13" s="138">
        <f t="shared" si="6"/>
        <v>24050442.554084681</v>
      </c>
      <c r="N13" s="138">
        <f t="shared" si="2"/>
        <v>-12953182.116059387</v>
      </c>
      <c r="O13" s="138">
        <f t="shared" si="7"/>
        <v>11097260.438025294</v>
      </c>
      <c r="P13" s="138">
        <v>835819581.25999999</v>
      </c>
      <c r="Q13" s="139">
        <f t="shared" si="3"/>
        <v>869661954.56583047</v>
      </c>
      <c r="R13" s="50">
        <f t="shared" ref="R13:AP13" si="8">SUM(R14:R17)</f>
        <v>10298439.51</v>
      </c>
      <c r="S13" s="50">
        <f t="shared" si="8"/>
        <v>10298439.51</v>
      </c>
      <c r="T13" s="50">
        <f t="shared" si="8"/>
        <v>11697122341.399237</v>
      </c>
      <c r="U13" s="50">
        <f t="shared" si="8"/>
        <v>-116054806.95182699</v>
      </c>
      <c r="V13" s="50">
        <f t="shared" si="8"/>
        <v>10298439.51</v>
      </c>
      <c r="W13" s="50">
        <f t="shared" si="8"/>
        <v>1250541978.5252225</v>
      </c>
      <c r="X13" s="50">
        <f t="shared" si="8"/>
        <v>10298439.51</v>
      </c>
      <c r="Y13" s="50">
        <f t="shared" si="8"/>
        <v>10298439.51</v>
      </c>
      <c r="Z13" s="50">
        <f t="shared" si="8"/>
        <v>10298439.51</v>
      </c>
      <c r="AA13" s="50">
        <f t="shared" si="8"/>
        <v>10298439.51</v>
      </c>
      <c r="AB13" s="50">
        <f t="shared" si="8"/>
        <v>10298439.51</v>
      </c>
      <c r="AC13" s="50">
        <f t="shared" si="8"/>
        <v>10298439.51</v>
      </c>
      <c r="AD13" s="50">
        <f t="shared" si="8"/>
        <v>10298439.51</v>
      </c>
      <c r="AE13" s="50">
        <f t="shared" si="8"/>
        <v>10298439.51</v>
      </c>
      <c r="AF13" s="50">
        <f t="shared" si="8"/>
        <v>10298439.51</v>
      </c>
      <c r="AG13" s="50">
        <f t="shared" si="8"/>
        <v>10298439.51</v>
      </c>
      <c r="AH13" s="50">
        <f t="shared" si="8"/>
        <v>10298439.51</v>
      </c>
      <c r="AI13" s="50">
        <f t="shared" si="8"/>
        <v>10298439.51</v>
      </c>
      <c r="AJ13" s="50">
        <f t="shared" si="8"/>
        <v>10298439.51</v>
      </c>
      <c r="AK13" s="50">
        <f t="shared" si="8"/>
        <v>10298439.51</v>
      </c>
      <c r="AL13" s="50">
        <f t="shared" si="8"/>
        <v>10298439.51</v>
      </c>
      <c r="AM13" s="50">
        <f t="shared" si="8"/>
        <v>10298439.51</v>
      </c>
      <c r="AN13" s="50">
        <f t="shared" si="8"/>
        <v>10298439.51</v>
      </c>
      <c r="AO13" s="50">
        <f t="shared" si="8"/>
        <v>10298439.51</v>
      </c>
      <c r="AP13" s="50">
        <f t="shared" si="8"/>
        <v>10298439.51</v>
      </c>
      <c r="AQ13" s="56">
        <f t="shared" si="4"/>
        <v>16883455.624990165</v>
      </c>
    </row>
    <row r="14" spans="1:43" s="43" customFormat="1" ht="12.75" x14ac:dyDescent="0.15">
      <c r="A14" s="134" t="s">
        <v>27</v>
      </c>
      <c r="B14" s="135">
        <v>121630944.36</v>
      </c>
      <c r="C14" s="135">
        <v>22703453.760000002</v>
      </c>
      <c r="D14" s="135">
        <v>12312379.220000001</v>
      </c>
      <c r="E14" s="135">
        <v>0</v>
      </c>
      <c r="F14" s="136">
        <f>+B14+C14+D14+E14</f>
        <v>156646777.34</v>
      </c>
      <c r="G14" s="136">
        <f t="shared" si="1"/>
        <v>12419750.128771933</v>
      </c>
      <c r="H14" s="135">
        <v>812764.94</v>
      </c>
      <c r="I14" s="135">
        <v>65323918.789999999</v>
      </c>
      <c r="J14" s="135">
        <v>4931758.68</v>
      </c>
      <c r="K14" s="137">
        <v>0</v>
      </c>
      <c r="L14" s="138">
        <f t="shared" si="5"/>
        <v>83488192.538771927</v>
      </c>
      <c r="M14" s="138">
        <f>+F14-L14</f>
        <v>73158584.801228076</v>
      </c>
      <c r="N14" s="138">
        <f>+P14/$P$49*$N$49</f>
        <v>-26570247.714614388</v>
      </c>
      <c r="O14" s="138">
        <f t="shared" si="7"/>
        <v>46588337.086613685</v>
      </c>
      <c r="P14" s="138">
        <v>1714477038.9100001</v>
      </c>
      <c r="Q14" s="139">
        <f t="shared" si="3"/>
        <v>1584020427.9368351</v>
      </c>
      <c r="R14" s="51">
        <v>10298439.51</v>
      </c>
      <c r="S14" s="51">
        <v>10298439.51</v>
      </c>
      <c r="T14" s="51">
        <v>10298439.51</v>
      </c>
      <c r="U14" s="51">
        <v>10298439.51</v>
      </c>
      <c r="V14" s="51">
        <v>10298439.51</v>
      </c>
      <c r="W14" s="51">
        <v>10298439.51</v>
      </c>
      <c r="X14" s="51">
        <v>10298439.51</v>
      </c>
      <c r="Y14" s="51">
        <v>10298439.51</v>
      </c>
      <c r="Z14" s="51">
        <v>10298439.51</v>
      </c>
      <c r="AA14" s="51">
        <v>10298439.51</v>
      </c>
      <c r="AB14" s="51">
        <v>10298439.51</v>
      </c>
      <c r="AC14" s="51">
        <v>10298439.51</v>
      </c>
      <c r="AD14" s="51">
        <v>10298439.51</v>
      </c>
      <c r="AE14" s="51">
        <v>10298439.51</v>
      </c>
      <c r="AF14" s="51">
        <v>10298439.51</v>
      </c>
      <c r="AG14" s="51">
        <v>10298439.51</v>
      </c>
      <c r="AH14" s="51">
        <v>10298439.51</v>
      </c>
      <c r="AI14" s="51">
        <v>10298439.51</v>
      </c>
      <c r="AJ14" s="51">
        <v>10298439.51</v>
      </c>
      <c r="AK14" s="51">
        <v>10298439.51</v>
      </c>
      <c r="AL14" s="51">
        <v>10298439.51</v>
      </c>
      <c r="AM14" s="51">
        <v>10298439.51</v>
      </c>
      <c r="AN14" s="51">
        <v>10298439.51</v>
      </c>
      <c r="AO14" s="51">
        <v>10298439.51</v>
      </c>
      <c r="AP14" s="51">
        <v>10298439.51</v>
      </c>
      <c r="AQ14" s="56">
        <f t="shared" si="4"/>
        <v>34632231.232085891</v>
      </c>
    </row>
    <row r="15" spans="1:43" s="43" customFormat="1" ht="12.75" x14ac:dyDescent="0.15">
      <c r="A15" s="140" t="s">
        <v>28</v>
      </c>
      <c r="B15" s="133">
        <f>SUM(B16:B22)</f>
        <v>477565581.14999998</v>
      </c>
      <c r="C15" s="133">
        <f>SUM(C16:C22)</f>
        <v>84240478.390000001</v>
      </c>
      <c r="D15" s="133">
        <f>SUM(D16:D22)</f>
        <v>52721575.100000001</v>
      </c>
      <c r="E15" s="133">
        <f>SUM(E16:E22)</f>
        <v>0</v>
      </c>
      <c r="F15" s="133">
        <f>SUM(F16:F22)</f>
        <v>616379583.95000005</v>
      </c>
      <c r="G15" s="133">
        <f t="shared" ref="G15:AQ15" si="9">SUM(G16:G22)</f>
        <v>57081992.256303698</v>
      </c>
      <c r="H15" s="133">
        <f t="shared" si="9"/>
        <v>4045802.89</v>
      </c>
      <c r="I15" s="133">
        <f t="shared" si="9"/>
        <v>299911632.38999999</v>
      </c>
      <c r="J15" s="133">
        <f t="shared" si="9"/>
        <v>47167956.460000001</v>
      </c>
      <c r="K15" s="133">
        <v>0</v>
      </c>
      <c r="L15" s="133">
        <f>SUM(L16:L22)</f>
        <v>408207383.99630374</v>
      </c>
      <c r="M15" s="133">
        <f>SUM(M16:M22)</f>
        <v>208172199.95369631</v>
      </c>
      <c r="N15" s="138">
        <f t="shared" si="2"/>
        <v>-122118614.18854967</v>
      </c>
      <c r="O15" s="133">
        <f t="shared" si="9"/>
        <v>86053585.765146613</v>
      </c>
      <c r="P15" s="133">
        <f t="shared" si="9"/>
        <v>7879849758.9700003</v>
      </c>
      <c r="Q15" s="133">
        <f t="shared" si="9"/>
        <v>8849972877.1704788</v>
      </c>
      <c r="R15" s="50">
        <f t="shared" si="9"/>
        <v>0</v>
      </c>
      <c r="S15" s="50">
        <f t="shared" si="9"/>
        <v>0</v>
      </c>
      <c r="T15" s="50">
        <f t="shared" si="9"/>
        <v>10526556925.352228</v>
      </c>
      <c r="U15" s="50">
        <f t="shared" si="9"/>
        <v>-118549143.80491298</v>
      </c>
      <c r="V15" s="50">
        <f t="shared" si="9"/>
        <v>0</v>
      </c>
      <c r="W15" s="50">
        <f t="shared" si="9"/>
        <v>1125698436.3892398</v>
      </c>
      <c r="X15" s="50">
        <f t="shared" si="9"/>
        <v>0</v>
      </c>
      <c r="Y15" s="50">
        <f t="shared" si="9"/>
        <v>0</v>
      </c>
      <c r="Z15" s="50">
        <f t="shared" si="9"/>
        <v>0</v>
      </c>
      <c r="AA15" s="50">
        <f t="shared" si="9"/>
        <v>0</v>
      </c>
      <c r="AB15" s="50">
        <f t="shared" si="9"/>
        <v>0</v>
      </c>
      <c r="AC15" s="50">
        <f t="shared" si="9"/>
        <v>0</v>
      </c>
      <c r="AD15" s="50">
        <f t="shared" si="9"/>
        <v>0</v>
      </c>
      <c r="AE15" s="50">
        <f t="shared" si="9"/>
        <v>0</v>
      </c>
      <c r="AF15" s="50">
        <f t="shared" si="9"/>
        <v>0</v>
      </c>
      <c r="AG15" s="50">
        <f t="shared" si="9"/>
        <v>0</v>
      </c>
      <c r="AH15" s="50">
        <f t="shared" si="9"/>
        <v>0</v>
      </c>
      <c r="AI15" s="50">
        <f t="shared" si="9"/>
        <v>0</v>
      </c>
      <c r="AJ15" s="50">
        <f t="shared" si="9"/>
        <v>0</v>
      </c>
      <c r="AK15" s="50">
        <f t="shared" si="9"/>
        <v>0</v>
      </c>
      <c r="AL15" s="50">
        <f t="shared" si="9"/>
        <v>0</v>
      </c>
      <c r="AM15" s="50">
        <f t="shared" si="9"/>
        <v>0</v>
      </c>
      <c r="AN15" s="50">
        <f t="shared" si="9"/>
        <v>0</v>
      </c>
      <c r="AO15" s="50">
        <f t="shared" si="9"/>
        <v>0</v>
      </c>
      <c r="AP15" s="50">
        <f t="shared" si="9"/>
        <v>0</v>
      </c>
      <c r="AQ15" s="50">
        <f t="shared" si="9"/>
        <v>159172023.14954463</v>
      </c>
    </row>
    <row r="16" spans="1:43" s="55" customFormat="1" ht="12.75" x14ac:dyDescent="0.15">
      <c r="A16" s="134" t="s">
        <v>29</v>
      </c>
      <c r="B16" s="135">
        <v>38084240.030000001</v>
      </c>
      <c r="C16" s="135">
        <v>11118882.609999999</v>
      </c>
      <c r="D16" s="135">
        <v>5616638.7400000002</v>
      </c>
      <c r="E16" s="135">
        <v>0</v>
      </c>
      <c r="F16" s="136">
        <f>+B16+C16+D16+E16</f>
        <v>54819761.380000003</v>
      </c>
      <c r="G16" s="136">
        <f t="shared" si="1"/>
        <v>4736544.0912170988</v>
      </c>
      <c r="H16" s="135">
        <v>1002811.45</v>
      </c>
      <c r="I16" s="135">
        <v>41856998.770000003</v>
      </c>
      <c r="J16" s="135">
        <v>9240168.3200000003</v>
      </c>
      <c r="K16" s="137">
        <v>0</v>
      </c>
      <c r="L16" s="138">
        <f t="shared" si="5"/>
        <v>56836522.6312171</v>
      </c>
      <c r="M16" s="138">
        <f>+F16-L16</f>
        <v>-2016761.251217097</v>
      </c>
      <c r="N16" s="138">
        <f t="shared" si="2"/>
        <v>-10133146.682498965</v>
      </c>
      <c r="O16" s="138">
        <f t="shared" si="7"/>
        <v>-12149907.933716062</v>
      </c>
      <c r="P16" s="138">
        <v>653853419.26999998</v>
      </c>
      <c r="Q16" s="139">
        <f t="shared" ref="Q16:Q42" si="10">+((I16+G16)+AQ16)/((B16)/P16)</f>
        <v>1026705191.2793887</v>
      </c>
      <c r="R16" s="56"/>
      <c r="S16" s="56"/>
      <c r="T16" s="56">
        <f>(+P16+M16)/2</f>
        <v>325918329.00939143</v>
      </c>
      <c r="U16" s="56">
        <v>-4629188.2972519081</v>
      </c>
      <c r="V16" s="56"/>
      <c r="W16" s="56">
        <f>+G16+I16</f>
        <v>46593542.861217104</v>
      </c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>
        <f t="shared" ref="AQ16:AQ22" si="11">+($G$47+$I$47)*(P16/$P$49)</f>
        <v>13207760.905590838</v>
      </c>
    </row>
    <row r="17" spans="1:44" s="43" customFormat="1" ht="12" customHeight="1" x14ac:dyDescent="0.15">
      <c r="A17" s="134" t="s">
        <v>427</v>
      </c>
      <c r="B17" s="135">
        <v>75535049.579999998</v>
      </c>
      <c r="C17" s="135">
        <v>15202752.59</v>
      </c>
      <c r="D17" s="135">
        <v>10528520.470000001</v>
      </c>
      <c r="E17" s="135">
        <v>0</v>
      </c>
      <c r="F17" s="136">
        <f t="shared" ref="F17:F22" si="12">+B17+C17+D17+E17</f>
        <v>101266322.64</v>
      </c>
      <c r="G17" s="136">
        <f t="shared" si="1"/>
        <v>11977357.63476575</v>
      </c>
      <c r="H17" s="135">
        <v>764206.48</v>
      </c>
      <c r="I17" s="135">
        <v>55974202.130000003</v>
      </c>
      <c r="J17" s="135">
        <v>17260490.850000001</v>
      </c>
      <c r="K17" s="137">
        <v>0</v>
      </c>
      <c r="L17" s="138">
        <f>+G17+H17+I17+J17+K17</f>
        <v>85976257.094765753</v>
      </c>
      <c r="M17" s="138">
        <f t="shared" si="6"/>
        <v>15290065.545234248</v>
      </c>
      <c r="N17" s="138">
        <f t="shared" si="2"/>
        <v>-25623813.363604411</v>
      </c>
      <c r="O17" s="138">
        <f t="shared" si="7"/>
        <v>-10333747.818370163</v>
      </c>
      <c r="P17" s="138">
        <v>1653407229.51</v>
      </c>
      <c r="Q17" s="139">
        <f t="shared" si="10"/>
        <v>2218481813.7665629</v>
      </c>
      <c r="R17" s="71"/>
      <c r="S17" s="71"/>
      <c r="T17" s="68">
        <f>(+P17+M17)/2</f>
        <v>834348647.5276171</v>
      </c>
      <c r="U17" s="71">
        <v>-3174914.3596621039</v>
      </c>
      <c r="V17" s="71"/>
      <c r="W17" s="65">
        <f>+G17+I17</f>
        <v>67951559.764765754</v>
      </c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56">
        <f t="shared" si="11"/>
        <v>33398628.382680077</v>
      </c>
    </row>
    <row r="18" spans="1:44" s="43" customFormat="1" ht="12.75" x14ac:dyDescent="0.15">
      <c r="A18" s="134" t="s">
        <v>30</v>
      </c>
      <c r="B18" s="135">
        <v>19330256.5</v>
      </c>
      <c r="C18" s="135">
        <v>4555031.4400000004</v>
      </c>
      <c r="D18" s="135">
        <v>3497629.49</v>
      </c>
      <c r="E18" s="135">
        <v>0</v>
      </c>
      <c r="F18" s="136">
        <f t="shared" si="12"/>
        <v>27382917.43</v>
      </c>
      <c r="G18" s="136">
        <f t="shared" si="1"/>
        <v>2644560.1155421897</v>
      </c>
      <c r="H18" s="135">
        <v>346656.24</v>
      </c>
      <c r="I18" s="135">
        <v>25276567.149999999</v>
      </c>
      <c r="J18" s="135">
        <v>1538394.6</v>
      </c>
      <c r="K18" s="137">
        <v>0</v>
      </c>
      <c r="L18" s="138">
        <f t="shared" si="5"/>
        <v>29806178.10554219</v>
      </c>
      <c r="M18" s="138">
        <f t="shared" si="6"/>
        <v>-2423260.6755421907</v>
      </c>
      <c r="N18" s="138">
        <f t="shared" si="2"/>
        <v>-5657651.4533383129</v>
      </c>
      <c r="O18" s="138">
        <f t="shared" si="7"/>
        <v>-8080912.1288805036</v>
      </c>
      <c r="P18" s="138">
        <v>365066732.35000002</v>
      </c>
      <c r="Q18" s="139">
        <f t="shared" si="10"/>
        <v>666581319.68371117</v>
      </c>
      <c r="R18" s="68"/>
      <c r="S18" s="68"/>
      <c r="T18" s="68">
        <f>(+P18+M18)/2</f>
        <v>181321735.83722892</v>
      </c>
      <c r="U18" s="68">
        <v>-3395758.795607816</v>
      </c>
      <c r="V18" s="68"/>
      <c r="W18" s="65">
        <f>+G18+I18</f>
        <v>27921127.265542187</v>
      </c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56">
        <f t="shared" si="11"/>
        <v>7374304.3522619596</v>
      </c>
    </row>
    <row r="19" spans="1:44" s="43" customFormat="1" ht="12.75" x14ac:dyDescent="0.15">
      <c r="A19" s="134" t="s">
        <v>31</v>
      </c>
      <c r="B19" s="135">
        <v>213375919.21000001</v>
      </c>
      <c r="C19" s="135">
        <v>18842082.41</v>
      </c>
      <c r="D19" s="135">
        <v>18871419.550000001</v>
      </c>
      <c r="E19" s="135">
        <v>0</v>
      </c>
      <c r="F19" s="136">
        <f t="shared" si="12"/>
        <v>251089421.17000002</v>
      </c>
      <c r="G19" s="136">
        <f t="shared" si="1"/>
        <v>21730568.41471307</v>
      </c>
      <c r="H19" s="135">
        <v>471894.45</v>
      </c>
      <c r="I19" s="135">
        <v>75190640.680000007</v>
      </c>
      <c r="J19" s="135">
        <v>11019450.710000001</v>
      </c>
      <c r="K19" s="137">
        <v>0</v>
      </c>
      <c r="L19" s="138">
        <f t="shared" si="5"/>
        <v>108412554.25471309</v>
      </c>
      <c r="M19" s="138">
        <f t="shared" si="6"/>
        <v>142676866.91528693</v>
      </c>
      <c r="N19" s="138">
        <f t="shared" si="2"/>
        <v>-46489388.254334681</v>
      </c>
      <c r="O19" s="138">
        <f t="shared" si="7"/>
        <v>96187478.66095224</v>
      </c>
      <c r="P19" s="138">
        <v>2999783425.8499999</v>
      </c>
      <c r="Q19" s="139">
        <f t="shared" si="10"/>
        <v>2214473474.0126238</v>
      </c>
      <c r="R19" s="71"/>
      <c r="S19" s="71"/>
      <c r="T19" s="68">
        <f>(+P19+M19)/2</f>
        <v>1571230146.3826435</v>
      </c>
      <c r="U19" s="71">
        <v>-3427868.8183200266</v>
      </c>
      <c r="V19" s="71"/>
      <c r="W19" s="65">
        <f>+G19+I19</f>
        <v>96921209.094713077</v>
      </c>
      <c r="X19" s="66"/>
      <c r="Y19" s="66" t="s">
        <v>18</v>
      </c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56">
        <f t="shared" si="11"/>
        <v>60595266.598766938</v>
      </c>
    </row>
    <row r="20" spans="1:44" s="43" customFormat="1" ht="12.75" x14ac:dyDescent="0.15">
      <c r="A20" s="134" t="s">
        <v>32</v>
      </c>
      <c r="B20" s="135">
        <v>46280250.399999999</v>
      </c>
      <c r="C20" s="135">
        <v>17588497.77</v>
      </c>
      <c r="D20" s="135">
        <v>5228650.99</v>
      </c>
      <c r="E20" s="135">
        <v>0</v>
      </c>
      <c r="F20" s="136">
        <f t="shared" si="12"/>
        <v>69097399.159999996</v>
      </c>
      <c r="G20" s="136">
        <f t="shared" si="1"/>
        <v>5774098.7466254523</v>
      </c>
      <c r="H20" s="135">
        <v>586084.79</v>
      </c>
      <c r="I20" s="135">
        <v>37216337.399999999</v>
      </c>
      <c r="J20" s="135">
        <v>1380556.54</v>
      </c>
      <c r="K20" s="137">
        <v>0</v>
      </c>
      <c r="L20" s="138">
        <f t="shared" si="5"/>
        <v>44957077.47662545</v>
      </c>
      <c r="M20" s="138">
        <f t="shared" si="6"/>
        <v>24140321.683374546</v>
      </c>
      <c r="N20" s="138">
        <f t="shared" si="2"/>
        <v>-12352843.852395028</v>
      </c>
      <c r="O20" s="138">
        <f t="shared" si="7"/>
        <v>11787477.830979519</v>
      </c>
      <c r="P20" s="138">
        <v>797082036.17999995</v>
      </c>
      <c r="Q20" s="139">
        <f t="shared" si="10"/>
        <v>1017727679.1923167</v>
      </c>
      <c r="R20" s="50">
        <f t="shared" ref="R20:AP20" si="13">SUM(R21:R24)</f>
        <v>0</v>
      </c>
      <c r="S20" s="50">
        <f t="shared" si="13"/>
        <v>0</v>
      </c>
      <c r="T20" s="50">
        <f t="shared" si="13"/>
        <v>6893157124.8220682</v>
      </c>
      <c r="U20" s="50">
        <f t="shared" si="13"/>
        <v>-90684598.875470206</v>
      </c>
      <c r="V20" s="50">
        <f t="shared" si="13"/>
        <v>0</v>
      </c>
      <c r="W20" s="50">
        <f t="shared" si="13"/>
        <v>811695247.88956153</v>
      </c>
      <c r="X20" s="50">
        <f t="shared" si="13"/>
        <v>0</v>
      </c>
      <c r="Y20" s="50">
        <f t="shared" si="13"/>
        <v>0</v>
      </c>
      <c r="Z20" s="50">
        <f t="shared" si="13"/>
        <v>0</v>
      </c>
      <c r="AA20" s="50">
        <f t="shared" si="13"/>
        <v>0</v>
      </c>
      <c r="AB20" s="50">
        <f t="shared" si="13"/>
        <v>0</v>
      </c>
      <c r="AC20" s="50">
        <f t="shared" si="13"/>
        <v>0</v>
      </c>
      <c r="AD20" s="50">
        <f t="shared" si="13"/>
        <v>0</v>
      </c>
      <c r="AE20" s="50">
        <f t="shared" si="13"/>
        <v>0</v>
      </c>
      <c r="AF20" s="50">
        <f t="shared" si="13"/>
        <v>0</v>
      </c>
      <c r="AG20" s="50">
        <f t="shared" si="13"/>
        <v>0</v>
      </c>
      <c r="AH20" s="50">
        <f t="shared" si="13"/>
        <v>0</v>
      </c>
      <c r="AI20" s="50">
        <f t="shared" si="13"/>
        <v>0</v>
      </c>
      <c r="AJ20" s="50">
        <f t="shared" si="13"/>
        <v>0</v>
      </c>
      <c r="AK20" s="50">
        <f t="shared" si="13"/>
        <v>0</v>
      </c>
      <c r="AL20" s="50">
        <f t="shared" si="13"/>
        <v>0</v>
      </c>
      <c r="AM20" s="50">
        <f t="shared" si="13"/>
        <v>0</v>
      </c>
      <c r="AN20" s="50">
        <f t="shared" si="13"/>
        <v>0</v>
      </c>
      <c r="AO20" s="50">
        <f t="shared" si="13"/>
        <v>0</v>
      </c>
      <c r="AP20" s="50">
        <f t="shared" si="13"/>
        <v>0</v>
      </c>
      <c r="AQ20" s="56">
        <f t="shared" si="11"/>
        <v>16100961.845180299</v>
      </c>
    </row>
    <row r="21" spans="1:44" s="43" customFormat="1" ht="12.75" x14ac:dyDescent="0.15">
      <c r="A21" s="134" t="s">
        <v>33</v>
      </c>
      <c r="B21" s="135">
        <v>55063255.869999997</v>
      </c>
      <c r="C21" s="135">
        <v>10397043.18</v>
      </c>
      <c r="D21" s="135">
        <v>5653580.4900000002</v>
      </c>
      <c r="E21" s="135">
        <v>0</v>
      </c>
      <c r="F21" s="136">
        <f>+B21+C21+D21+E21+1851949.31</f>
        <v>72965828.849999994</v>
      </c>
      <c r="G21" s="136">
        <f t="shared" si="1"/>
        <v>6708375.547810494</v>
      </c>
      <c r="H21" s="135">
        <v>526210.75</v>
      </c>
      <c r="I21" s="135">
        <v>31507881.760000002</v>
      </c>
      <c r="J21" s="135">
        <v>1101210.5</v>
      </c>
      <c r="K21" s="137">
        <v>0</v>
      </c>
      <c r="L21" s="138">
        <f t="shared" si="5"/>
        <v>39843678.557810493</v>
      </c>
      <c r="M21" s="138">
        <f t="shared" si="6"/>
        <v>33122150.292189501</v>
      </c>
      <c r="N21" s="138">
        <f t="shared" si="2"/>
        <v>-14351593.085199334</v>
      </c>
      <c r="O21" s="138">
        <f t="shared" si="7"/>
        <v>18770557.206990167</v>
      </c>
      <c r="P21" s="138">
        <v>926053722.97000003</v>
      </c>
      <c r="Q21" s="139">
        <f t="shared" si="10"/>
        <v>957321340.0456183</v>
      </c>
      <c r="R21" s="56"/>
      <c r="S21" s="56"/>
      <c r="T21" s="56">
        <f>(+P21+M21)/2</f>
        <v>479587936.63109475</v>
      </c>
      <c r="U21" s="56">
        <v>-3674915.7454035105</v>
      </c>
      <c r="V21" s="56"/>
      <c r="W21" s="56">
        <f>+G21+I21</f>
        <v>38216257.307810493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>
        <f t="shared" si="11"/>
        <v>18706174.500663351</v>
      </c>
      <c r="AR21" s="37"/>
    </row>
    <row r="22" spans="1:44" s="43" customFormat="1" ht="12.75" x14ac:dyDescent="0.15">
      <c r="A22" s="134" t="s">
        <v>34</v>
      </c>
      <c r="B22" s="135">
        <v>29896609.559999999</v>
      </c>
      <c r="C22" s="135">
        <v>6536188.3899999997</v>
      </c>
      <c r="D22" s="135">
        <v>3325135.37</v>
      </c>
      <c r="E22" s="135">
        <v>0</v>
      </c>
      <c r="F22" s="136">
        <f t="shared" si="12"/>
        <v>39757933.319999993</v>
      </c>
      <c r="G22" s="136">
        <f t="shared" si="1"/>
        <v>3510487.7056296482</v>
      </c>
      <c r="H22" s="135">
        <v>347938.73</v>
      </c>
      <c r="I22" s="135">
        <v>32889004.5</v>
      </c>
      <c r="J22" s="135">
        <v>5627684.9400000004</v>
      </c>
      <c r="K22" s="137">
        <v>0</v>
      </c>
      <c r="L22" s="138">
        <f t="shared" si="5"/>
        <v>42375115.875629649</v>
      </c>
      <c r="M22" s="138">
        <f t="shared" si="6"/>
        <v>-2617182.5556296557</v>
      </c>
      <c r="N22" s="138">
        <f t="shared" si="2"/>
        <v>-7510177.497178928</v>
      </c>
      <c r="O22" s="138">
        <f t="shared" si="7"/>
        <v>-10127360.052808583</v>
      </c>
      <c r="P22" s="138">
        <v>484603192.83999997</v>
      </c>
      <c r="Q22" s="139">
        <f t="shared" si="10"/>
        <v>748682059.19025719</v>
      </c>
      <c r="R22" s="68"/>
      <c r="S22" s="68"/>
      <c r="T22" s="68">
        <f>(+P22+M22)/2</f>
        <v>240993005.14218515</v>
      </c>
      <c r="U22" s="68">
        <v>-9561898.9131974149</v>
      </c>
      <c r="V22" s="68"/>
      <c r="W22" s="65">
        <f>+G22+I22</f>
        <v>36399492.205629647</v>
      </c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56">
        <f t="shared" si="11"/>
        <v>9788926.5644011889</v>
      </c>
    </row>
    <row r="23" spans="1:44" s="43" customFormat="1" ht="12.75" x14ac:dyDescent="0.15">
      <c r="A23" s="140" t="s">
        <v>35</v>
      </c>
      <c r="B23" s="133">
        <f t="shared" ref="B23:AQ23" si="14">SUM(B24:B30)</f>
        <v>288394478.75999999</v>
      </c>
      <c r="C23" s="133">
        <f t="shared" si="14"/>
        <v>48522099.700000003</v>
      </c>
      <c r="D23" s="133">
        <f t="shared" si="14"/>
        <v>30405292.150000002</v>
      </c>
      <c r="E23" s="133">
        <f t="shared" si="14"/>
        <v>0</v>
      </c>
      <c r="F23" s="133">
        <f t="shared" si="14"/>
        <v>367321870.60999995</v>
      </c>
      <c r="G23" s="133">
        <f t="shared" si="14"/>
        <v>31333591.389639765</v>
      </c>
      <c r="H23" s="133">
        <f t="shared" si="14"/>
        <v>5001677.3800000008</v>
      </c>
      <c r="I23" s="133">
        <f t="shared" si="14"/>
        <v>218306950.75999999</v>
      </c>
      <c r="J23" s="133">
        <f t="shared" si="14"/>
        <v>13227920.119999999</v>
      </c>
      <c r="K23" s="133">
        <f t="shared" si="14"/>
        <v>0</v>
      </c>
      <c r="L23" s="133">
        <f t="shared" si="14"/>
        <v>267870139.64963979</v>
      </c>
      <c r="M23" s="133">
        <f t="shared" si="14"/>
        <v>99451730.960360229</v>
      </c>
      <c r="N23" s="133">
        <f t="shared" si="14"/>
        <v>-67033658.195952684</v>
      </c>
      <c r="O23" s="133">
        <f t="shared" si="14"/>
        <v>32418072.764407545</v>
      </c>
      <c r="P23" s="133">
        <f t="shared" si="14"/>
        <v>4325427035.7399998</v>
      </c>
      <c r="Q23" s="133">
        <f t="shared" si="14"/>
        <v>5074813308.3329973</v>
      </c>
      <c r="R23" s="50">
        <f t="shared" si="14"/>
        <v>0</v>
      </c>
      <c r="S23" s="50">
        <f t="shared" si="14"/>
        <v>0</v>
      </c>
      <c r="T23" s="50">
        <f t="shared" si="14"/>
        <v>5628426878.1162996</v>
      </c>
      <c r="U23" s="50">
        <f t="shared" si="14"/>
        <v>-75267442.463462368</v>
      </c>
      <c r="V23" s="50">
        <f t="shared" si="14"/>
        <v>0</v>
      </c>
      <c r="W23" s="50">
        <f t="shared" si="14"/>
        <v>688634735.69109905</v>
      </c>
      <c r="X23" s="50">
        <f t="shared" si="14"/>
        <v>0</v>
      </c>
      <c r="Y23" s="50">
        <f t="shared" si="14"/>
        <v>0</v>
      </c>
      <c r="Z23" s="50">
        <f t="shared" si="14"/>
        <v>0</v>
      </c>
      <c r="AA23" s="50">
        <f t="shared" si="14"/>
        <v>0</v>
      </c>
      <c r="AB23" s="50">
        <f t="shared" si="14"/>
        <v>0</v>
      </c>
      <c r="AC23" s="50">
        <f t="shared" si="14"/>
        <v>0</v>
      </c>
      <c r="AD23" s="50">
        <f t="shared" si="14"/>
        <v>0</v>
      </c>
      <c r="AE23" s="50">
        <f t="shared" si="14"/>
        <v>0</v>
      </c>
      <c r="AF23" s="50">
        <f t="shared" si="14"/>
        <v>0</v>
      </c>
      <c r="AG23" s="50">
        <f t="shared" si="14"/>
        <v>0</v>
      </c>
      <c r="AH23" s="50">
        <f t="shared" si="14"/>
        <v>0</v>
      </c>
      <c r="AI23" s="50">
        <f t="shared" si="14"/>
        <v>0</v>
      </c>
      <c r="AJ23" s="50">
        <f t="shared" si="14"/>
        <v>0</v>
      </c>
      <c r="AK23" s="50">
        <f t="shared" si="14"/>
        <v>0</v>
      </c>
      <c r="AL23" s="50">
        <f t="shared" si="14"/>
        <v>0</v>
      </c>
      <c r="AM23" s="50">
        <f t="shared" si="14"/>
        <v>0</v>
      </c>
      <c r="AN23" s="50">
        <f t="shared" si="14"/>
        <v>0</v>
      </c>
      <c r="AO23" s="50">
        <f t="shared" si="14"/>
        <v>0</v>
      </c>
      <c r="AP23" s="50">
        <f t="shared" si="14"/>
        <v>0</v>
      </c>
      <c r="AQ23" s="50">
        <f t="shared" si="14"/>
        <v>87373109.047001421</v>
      </c>
    </row>
    <row r="24" spans="1:44" s="43" customFormat="1" ht="12.75" x14ac:dyDescent="0.15">
      <c r="A24" s="134" t="s">
        <v>36</v>
      </c>
      <c r="B24" s="135">
        <v>72079153.859999999</v>
      </c>
      <c r="C24" s="135">
        <v>10484794.189999999</v>
      </c>
      <c r="D24" s="135">
        <v>6257162.1699999999</v>
      </c>
      <c r="E24" s="135">
        <v>0</v>
      </c>
      <c r="F24" s="136">
        <f t="shared" ref="F24:F44" si="15">+B24+C24+D24+E24</f>
        <v>88821110.219999999</v>
      </c>
      <c r="G24" s="136">
        <f t="shared" ref="G24:G30" si="16">+(P24/$P$49)*$G$55</f>
        <v>7605874.1450223103</v>
      </c>
      <c r="H24" s="135">
        <v>1455187.44</v>
      </c>
      <c r="I24" s="135">
        <v>40838888.539999999</v>
      </c>
      <c r="J24" s="135">
        <v>570934.64</v>
      </c>
      <c r="K24" s="137">
        <v>0</v>
      </c>
      <c r="L24" s="138">
        <f t="shared" si="5"/>
        <v>50470884.765022308</v>
      </c>
      <c r="M24" s="138">
        <f t="shared" si="6"/>
        <v>38350225.454977691</v>
      </c>
      <c r="N24" s="138">
        <f t="shared" ref="N24:N30" si="17">+P24/$P$49*$N$49</f>
        <v>-16271660.703644639</v>
      </c>
      <c r="O24" s="138">
        <f>SUM(M24:N24)</f>
        <v>22078564.75133305</v>
      </c>
      <c r="P24" s="138">
        <v>1049948384.41</v>
      </c>
      <c r="Q24" s="139">
        <f t="shared" si="10"/>
        <v>1014616225.8437692</v>
      </c>
      <c r="R24" s="68"/>
      <c r="S24" s="68"/>
      <c r="T24" s="68">
        <f>(+P24+M24)/2</f>
        <v>544149304.9324888</v>
      </c>
      <c r="U24" s="68">
        <v>-2180341.7534069102</v>
      </c>
      <c r="V24" s="68"/>
      <c r="W24" s="65">
        <f>+G24+I24</f>
        <v>48444762.685022309</v>
      </c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56">
        <f t="shared" ref="AQ24:AQ30" si="18">+($G$47+$I$47)*(P24/$P$49)</f>
        <v>21208831.850999735</v>
      </c>
    </row>
    <row r="25" spans="1:44" s="43" customFormat="1" ht="12.75" x14ac:dyDescent="0.15">
      <c r="A25" s="134" t="s">
        <v>37</v>
      </c>
      <c r="B25" s="135">
        <v>87486979.769999996</v>
      </c>
      <c r="C25" s="135">
        <v>9054760.2400000002</v>
      </c>
      <c r="D25" s="135">
        <v>10354275.710000001</v>
      </c>
      <c r="E25" s="135">
        <v>0</v>
      </c>
      <c r="F25" s="136">
        <f t="shared" si="15"/>
        <v>106896015.72</v>
      </c>
      <c r="G25" s="136">
        <f t="shared" si="16"/>
        <v>9470491.6110963598</v>
      </c>
      <c r="H25" s="135">
        <v>918981.21</v>
      </c>
      <c r="I25" s="135">
        <v>43935835</v>
      </c>
      <c r="J25" s="135">
        <v>10250954.98</v>
      </c>
      <c r="K25" s="137">
        <v>0</v>
      </c>
      <c r="L25" s="138">
        <f t="shared" si="5"/>
        <v>64576262.801096365</v>
      </c>
      <c r="M25" s="138">
        <f t="shared" si="6"/>
        <v>42319752.918903634</v>
      </c>
      <c r="N25" s="138">
        <f t="shared" si="17"/>
        <v>-20260738.378549755</v>
      </c>
      <c r="O25" s="138">
        <f t="shared" si="7"/>
        <v>22059014.540353879</v>
      </c>
      <c r="P25" s="138">
        <v>1307348396.3900001</v>
      </c>
      <c r="Q25" s="139">
        <f t="shared" si="10"/>
        <v>1192697472.9832509</v>
      </c>
      <c r="R25" s="50">
        <f t="shared" ref="R25:AP25" si="19">SUM(R26:R32)</f>
        <v>0</v>
      </c>
      <c r="S25" s="50">
        <f t="shared" si="19"/>
        <v>0</v>
      </c>
      <c r="T25" s="50">
        <f t="shared" si="19"/>
        <v>4090821569.4205713</v>
      </c>
      <c r="U25" s="50">
        <f t="shared" si="19"/>
        <v>-49078989.341198415</v>
      </c>
      <c r="V25" s="50">
        <f t="shared" si="19"/>
        <v>0</v>
      </c>
      <c r="W25" s="50">
        <f t="shared" si="19"/>
        <v>492400520.1525557</v>
      </c>
      <c r="X25" s="50">
        <f t="shared" si="19"/>
        <v>0</v>
      </c>
      <c r="Y25" s="50">
        <f t="shared" si="19"/>
        <v>0</v>
      </c>
      <c r="Z25" s="50">
        <f t="shared" si="19"/>
        <v>0</v>
      </c>
      <c r="AA25" s="50">
        <f t="shared" si="19"/>
        <v>0</v>
      </c>
      <c r="AB25" s="50">
        <f t="shared" si="19"/>
        <v>0</v>
      </c>
      <c r="AC25" s="50">
        <f t="shared" si="19"/>
        <v>0</v>
      </c>
      <c r="AD25" s="50">
        <f t="shared" si="19"/>
        <v>0</v>
      </c>
      <c r="AE25" s="50">
        <f t="shared" si="19"/>
        <v>0</v>
      </c>
      <c r="AF25" s="50">
        <f t="shared" si="19"/>
        <v>0</v>
      </c>
      <c r="AG25" s="50">
        <f t="shared" si="19"/>
        <v>0</v>
      </c>
      <c r="AH25" s="50">
        <f t="shared" si="19"/>
        <v>0</v>
      </c>
      <c r="AI25" s="50">
        <f t="shared" si="19"/>
        <v>0</v>
      </c>
      <c r="AJ25" s="50">
        <f t="shared" si="19"/>
        <v>0</v>
      </c>
      <c r="AK25" s="50">
        <f t="shared" si="19"/>
        <v>0</v>
      </c>
      <c r="AL25" s="50">
        <f t="shared" si="19"/>
        <v>0</v>
      </c>
      <c r="AM25" s="50">
        <f t="shared" si="19"/>
        <v>0</v>
      </c>
      <c r="AN25" s="50">
        <f t="shared" si="19"/>
        <v>0</v>
      </c>
      <c r="AO25" s="50">
        <f t="shared" si="19"/>
        <v>0</v>
      </c>
      <c r="AP25" s="50">
        <f t="shared" si="19"/>
        <v>0</v>
      </c>
      <c r="AQ25" s="56">
        <f t="shared" si="18"/>
        <v>26408281.322600968</v>
      </c>
    </row>
    <row r="26" spans="1:44" s="43" customFormat="1" ht="12.75" x14ac:dyDescent="0.15">
      <c r="A26" s="134" t="s">
        <v>38</v>
      </c>
      <c r="B26" s="135">
        <v>24113585.75</v>
      </c>
      <c r="C26" s="135">
        <v>8162344.3700000001</v>
      </c>
      <c r="D26" s="135">
        <v>3305040.01</v>
      </c>
      <c r="E26" s="135">
        <v>0</v>
      </c>
      <c r="F26" s="136">
        <f t="shared" si="15"/>
        <v>35580970.130000003</v>
      </c>
      <c r="G26" s="136">
        <f t="shared" si="16"/>
        <v>2404523.3462707633</v>
      </c>
      <c r="H26" s="135">
        <v>887344.44</v>
      </c>
      <c r="I26" s="135">
        <v>23514151.02</v>
      </c>
      <c r="J26" s="135">
        <v>88287.039999999994</v>
      </c>
      <c r="K26" s="137">
        <v>0</v>
      </c>
      <c r="L26" s="138">
        <f t="shared" si="5"/>
        <v>26894305.846270762</v>
      </c>
      <c r="M26" s="138">
        <f t="shared" si="6"/>
        <v>8686664.2837292403</v>
      </c>
      <c r="N26" s="138">
        <f t="shared" si="17"/>
        <v>-5144127.722664983</v>
      </c>
      <c r="O26" s="138">
        <f t="shared" si="7"/>
        <v>3542536.5610642573</v>
      </c>
      <c r="P26" s="138">
        <v>331930998.93000001</v>
      </c>
      <c r="Q26" s="139">
        <f t="shared" si="10"/>
        <v>449074551.30016202</v>
      </c>
      <c r="R26" s="68"/>
      <c r="S26" s="68"/>
      <c r="T26" s="68">
        <f>(+P26+M26)/2</f>
        <v>170308831.60686463</v>
      </c>
      <c r="U26" s="68">
        <v>-6272400.8821308119</v>
      </c>
      <c r="V26" s="68"/>
      <c r="W26" s="65">
        <f t="shared" ref="W26:W32" si="20">+G26+I26</f>
        <v>25918674.366270762</v>
      </c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56">
        <f t="shared" si="18"/>
        <v>6704966.4983261758</v>
      </c>
    </row>
    <row r="27" spans="1:44" s="43" customFormat="1" ht="12.75" x14ac:dyDescent="0.15">
      <c r="A27" s="134" t="s">
        <v>39</v>
      </c>
      <c r="B27" s="135">
        <v>24315253.68</v>
      </c>
      <c r="C27" s="135">
        <v>4486413.4000000004</v>
      </c>
      <c r="D27" s="135">
        <v>2455400.54</v>
      </c>
      <c r="E27" s="135">
        <v>0</v>
      </c>
      <c r="F27" s="136">
        <f t="shared" si="15"/>
        <v>31257067.619999997</v>
      </c>
      <c r="G27" s="136">
        <f t="shared" si="16"/>
        <v>2513699.3270388502</v>
      </c>
      <c r="H27" s="135">
        <v>567085.61</v>
      </c>
      <c r="I27" s="135">
        <v>21532734.34</v>
      </c>
      <c r="J27" s="135">
        <v>12720.95</v>
      </c>
      <c r="K27" s="137">
        <v>0</v>
      </c>
      <c r="L27" s="138">
        <f t="shared" si="5"/>
        <v>24626240.227038849</v>
      </c>
      <c r="M27" s="138">
        <f t="shared" si="6"/>
        <v>6630827.3929611482</v>
      </c>
      <c r="N27" s="138">
        <f t="shared" si="17"/>
        <v>-5377693.8430311158</v>
      </c>
      <c r="O27" s="138">
        <f t="shared" si="7"/>
        <v>1253133.5499300323</v>
      </c>
      <c r="P27" s="138">
        <v>347002132.43000001</v>
      </c>
      <c r="Q27" s="139">
        <f t="shared" si="10"/>
        <v>443196735.74381578</v>
      </c>
      <c r="R27" s="68"/>
      <c r="S27" s="68"/>
      <c r="T27" s="68">
        <f>(+P27+M27)/2</f>
        <v>176816479.91148058</v>
      </c>
      <c r="U27" s="68">
        <v>-4606025.20256563</v>
      </c>
      <c r="V27" s="68"/>
      <c r="W27" s="65">
        <f t="shared" si="20"/>
        <v>24046433.66703885</v>
      </c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56">
        <f t="shared" si="18"/>
        <v>7009401.5933761923</v>
      </c>
    </row>
    <row r="28" spans="1:44" s="55" customFormat="1" ht="12.75" x14ac:dyDescent="0.15">
      <c r="A28" s="134" t="s">
        <v>40</v>
      </c>
      <c r="B28" s="135">
        <v>11541408.880000001</v>
      </c>
      <c r="C28" s="135">
        <v>2951155.76</v>
      </c>
      <c r="D28" s="135">
        <v>1473891.01</v>
      </c>
      <c r="E28" s="135">
        <v>0</v>
      </c>
      <c r="F28" s="136">
        <f t="shared" si="15"/>
        <v>15966455.65</v>
      </c>
      <c r="G28" s="136">
        <f t="shared" si="16"/>
        <v>1064166.9211685658</v>
      </c>
      <c r="H28" s="135">
        <v>387291.17</v>
      </c>
      <c r="I28" s="135">
        <v>21200413.48</v>
      </c>
      <c r="J28" s="135">
        <v>239004.26</v>
      </c>
      <c r="K28" s="137">
        <v>0</v>
      </c>
      <c r="L28" s="138">
        <f t="shared" si="5"/>
        <v>22890875.831168566</v>
      </c>
      <c r="M28" s="138">
        <f t="shared" si="6"/>
        <v>-6924420.1811685655</v>
      </c>
      <c r="N28" s="138">
        <f t="shared" si="17"/>
        <v>-2276630.2390934792</v>
      </c>
      <c r="O28" s="138">
        <f t="shared" si="7"/>
        <v>-9201050.4202620443</v>
      </c>
      <c r="P28" s="138">
        <v>146902291.34999999</v>
      </c>
      <c r="Q28" s="139">
        <f t="shared" si="10"/>
        <v>321159839.00766563</v>
      </c>
      <c r="R28" s="68"/>
      <c r="S28" s="68"/>
      <c r="T28" s="68">
        <f>(+P28+M28)/2</f>
        <v>69988935.584415719</v>
      </c>
      <c r="U28" s="68">
        <v>-6272404.819172848</v>
      </c>
      <c r="V28" s="68"/>
      <c r="W28" s="65">
        <f t="shared" si="20"/>
        <v>22264580.401168566</v>
      </c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56">
        <f t="shared" si="18"/>
        <v>2967408.7241150374</v>
      </c>
    </row>
    <row r="29" spans="1:44" s="43" customFormat="1" ht="12.75" x14ac:dyDescent="0.15">
      <c r="A29" s="134" t="s">
        <v>41</v>
      </c>
      <c r="B29" s="135">
        <v>45741964.920000002</v>
      </c>
      <c r="C29" s="135">
        <v>8442298.6400000006</v>
      </c>
      <c r="D29" s="135">
        <v>4280662.78</v>
      </c>
      <c r="E29" s="135">
        <v>0</v>
      </c>
      <c r="F29" s="136">
        <f t="shared" si="15"/>
        <v>58464926.340000004</v>
      </c>
      <c r="G29" s="136">
        <f t="shared" si="16"/>
        <v>5199643.3904219083</v>
      </c>
      <c r="H29" s="135">
        <v>350545.19</v>
      </c>
      <c r="I29" s="135">
        <v>39155682.140000001</v>
      </c>
      <c r="J29" s="135">
        <v>1554812.36</v>
      </c>
      <c r="K29" s="137">
        <v>0</v>
      </c>
      <c r="L29" s="138">
        <f t="shared" si="5"/>
        <v>46260683.08042191</v>
      </c>
      <c r="M29" s="138">
        <f t="shared" si="6"/>
        <v>12204243.259578094</v>
      </c>
      <c r="N29" s="138">
        <f t="shared" si="17"/>
        <v>-11123880.229370475</v>
      </c>
      <c r="O29" s="138">
        <f t="shared" si="7"/>
        <v>1080363.0302076191</v>
      </c>
      <c r="P29" s="138">
        <v>717781687.30999994</v>
      </c>
      <c r="Q29" s="139">
        <f>+((I29+G29)+AQ29)/((B29)/P29)</f>
        <v>923542134.82757199</v>
      </c>
      <c r="R29" s="68"/>
      <c r="S29" s="68"/>
      <c r="T29" s="68">
        <f>(+P29+M29)/2</f>
        <v>364992965.28478903</v>
      </c>
      <c r="U29" s="68">
        <v>-2885405.942094272</v>
      </c>
      <c r="V29" s="68"/>
      <c r="W29" s="65">
        <f t="shared" si="20"/>
        <v>44355325.530421913</v>
      </c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56">
        <f t="shared" si="18"/>
        <v>14499104.277815649</v>
      </c>
    </row>
    <row r="30" spans="1:44" s="43" customFormat="1" ht="12.75" x14ac:dyDescent="0.15">
      <c r="A30" s="134" t="s">
        <v>42</v>
      </c>
      <c r="B30" s="135">
        <v>23116131.899999999</v>
      </c>
      <c r="C30" s="135">
        <v>4940333.0999999996</v>
      </c>
      <c r="D30" s="135">
        <v>2278859.9300000002</v>
      </c>
      <c r="E30" s="135">
        <v>0</v>
      </c>
      <c r="F30" s="136">
        <f t="shared" si="15"/>
        <v>30335324.93</v>
      </c>
      <c r="G30" s="136">
        <f t="shared" si="16"/>
        <v>3075192.6486210092</v>
      </c>
      <c r="H30" s="135">
        <v>435242.32</v>
      </c>
      <c r="I30" s="135">
        <v>28129246.239999998</v>
      </c>
      <c r="J30" s="135">
        <v>511205.89</v>
      </c>
      <c r="K30" s="137">
        <v>0</v>
      </c>
      <c r="L30" s="138">
        <f t="shared" si="5"/>
        <v>32150887.098621007</v>
      </c>
      <c r="M30" s="138">
        <f t="shared" si="6"/>
        <v>-1815562.1686210074</v>
      </c>
      <c r="N30" s="138">
        <f t="shared" si="17"/>
        <v>-6578927.079598235</v>
      </c>
      <c r="O30" s="138">
        <f t="shared" si="7"/>
        <v>-8394489.2482192423</v>
      </c>
      <c r="P30" s="138">
        <v>424513144.92000002</v>
      </c>
      <c r="Q30" s="139">
        <f t="shared" si="10"/>
        <v>730526348.62676132</v>
      </c>
      <c r="R30" s="56"/>
      <c r="S30" s="56"/>
      <c r="T30" s="56">
        <f>(+P30+M30)/2</f>
        <v>211348791.37568951</v>
      </c>
      <c r="U30" s="56">
        <v>-3971874.522893487</v>
      </c>
      <c r="V30" s="56"/>
      <c r="W30" s="56">
        <f t="shared" si="20"/>
        <v>31204438.888621006</v>
      </c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>
        <f t="shared" si="18"/>
        <v>8575114.7797676567</v>
      </c>
    </row>
    <row r="31" spans="1:44" s="43" customFormat="1" ht="12.75" x14ac:dyDescent="0.15">
      <c r="A31" s="140" t="s">
        <v>43</v>
      </c>
      <c r="B31" s="133">
        <f t="shared" ref="B31:AQ31" si="21">SUM(B32:B37)</f>
        <v>305280881.63</v>
      </c>
      <c r="C31" s="133">
        <f t="shared" si="21"/>
        <v>84948094.270000011</v>
      </c>
      <c r="D31" s="133">
        <f t="shared" si="21"/>
        <v>33206690.490000002</v>
      </c>
      <c r="E31" s="133">
        <f t="shared" si="21"/>
        <v>0</v>
      </c>
      <c r="F31" s="133">
        <f t="shared" si="21"/>
        <v>423435666.38999999</v>
      </c>
      <c r="G31" s="133">
        <f t="shared" si="21"/>
        <v>37532745.694021784</v>
      </c>
      <c r="H31" s="133">
        <f t="shared" si="21"/>
        <v>6781626.54</v>
      </c>
      <c r="I31" s="133">
        <f t="shared" si="21"/>
        <v>204523515.06999996</v>
      </c>
      <c r="J31" s="133">
        <f t="shared" si="21"/>
        <v>4891863.16</v>
      </c>
      <c r="K31" s="133">
        <v>0</v>
      </c>
      <c r="L31" s="133">
        <f t="shared" si="21"/>
        <v>253729750.46402177</v>
      </c>
      <c r="M31" s="133">
        <f t="shared" si="21"/>
        <v>169705915.92597824</v>
      </c>
      <c r="N31" s="133">
        <f t="shared" si="21"/>
        <v>-80295846.547630504</v>
      </c>
      <c r="O31" s="133">
        <f t="shared" si="21"/>
        <v>89410069.378347754</v>
      </c>
      <c r="P31" s="133">
        <f t="shared" si="21"/>
        <v>5181185614.2399998</v>
      </c>
      <c r="Q31" s="133">
        <f t="shared" si="21"/>
        <v>5958975451.6256199</v>
      </c>
      <c r="R31" s="50">
        <f t="shared" si="21"/>
        <v>0</v>
      </c>
      <c r="S31" s="50">
        <f t="shared" si="21"/>
        <v>0</v>
      </c>
      <c r="T31" s="50">
        <f t="shared" si="21"/>
        <v>2423120875.2515726</v>
      </c>
      <c r="U31" s="50">
        <f t="shared" si="21"/>
        <v>-22416438.109136112</v>
      </c>
      <c r="V31" s="50">
        <f t="shared" si="21"/>
        <v>0</v>
      </c>
      <c r="W31" s="50">
        <f t="shared" si="21"/>
        <v>285508278.10055262</v>
      </c>
      <c r="X31" s="50">
        <f t="shared" si="21"/>
        <v>0</v>
      </c>
      <c r="Y31" s="50">
        <f t="shared" si="21"/>
        <v>0</v>
      </c>
      <c r="Z31" s="50">
        <f t="shared" si="21"/>
        <v>0</v>
      </c>
      <c r="AA31" s="50">
        <f t="shared" si="21"/>
        <v>0</v>
      </c>
      <c r="AB31" s="50">
        <f t="shared" si="21"/>
        <v>0</v>
      </c>
      <c r="AC31" s="50">
        <f t="shared" si="21"/>
        <v>0</v>
      </c>
      <c r="AD31" s="50">
        <f t="shared" si="21"/>
        <v>0</v>
      </c>
      <c r="AE31" s="50">
        <f t="shared" si="21"/>
        <v>0</v>
      </c>
      <c r="AF31" s="50">
        <f t="shared" si="21"/>
        <v>0</v>
      </c>
      <c r="AG31" s="50">
        <f t="shared" si="21"/>
        <v>0</v>
      </c>
      <c r="AH31" s="50">
        <f t="shared" si="21"/>
        <v>0</v>
      </c>
      <c r="AI31" s="50">
        <f t="shared" si="21"/>
        <v>0</v>
      </c>
      <c r="AJ31" s="50">
        <f t="shared" si="21"/>
        <v>0</v>
      </c>
      <c r="AK31" s="50">
        <f t="shared" si="21"/>
        <v>0</v>
      </c>
      <c r="AL31" s="50">
        <f t="shared" si="21"/>
        <v>0</v>
      </c>
      <c r="AM31" s="50">
        <f t="shared" si="21"/>
        <v>0</v>
      </c>
      <c r="AN31" s="50">
        <f t="shared" si="21"/>
        <v>0</v>
      </c>
      <c r="AO31" s="50">
        <f t="shared" si="21"/>
        <v>0</v>
      </c>
      <c r="AP31" s="50">
        <f t="shared" si="21"/>
        <v>0</v>
      </c>
      <c r="AQ31" s="50">
        <f t="shared" si="21"/>
        <v>104659330.03267008</v>
      </c>
    </row>
    <row r="32" spans="1:44" s="43" customFormat="1" ht="12.75" x14ac:dyDescent="0.15">
      <c r="A32" s="134" t="s">
        <v>44</v>
      </c>
      <c r="B32" s="135">
        <v>68297011.450000003</v>
      </c>
      <c r="C32" s="135">
        <v>29680564.190000001</v>
      </c>
      <c r="D32" s="135">
        <v>9042547.8100000005</v>
      </c>
      <c r="E32" s="135">
        <v>0</v>
      </c>
      <c r="F32" s="136">
        <f t="shared" si="15"/>
        <v>107020123.45</v>
      </c>
      <c r="G32" s="136">
        <f t="shared" ref="G32:G37" si="22">+(P32/$P$49)*$G$55</f>
        <v>9457333.2784819473</v>
      </c>
      <c r="H32" s="135">
        <v>1387089.03</v>
      </c>
      <c r="I32" s="135">
        <v>49645455.920000002</v>
      </c>
      <c r="J32" s="135">
        <v>3572826.58</v>
      </c>
      <c r="K32" s="137">
        <v>0</v>
      </c>
      <c r="L32" s="138">
        <f t="shared" si="5"/>
        <v>64062704.808481947</v>
      </c>
      <c r="M32" s="138">
        <f t="shared" si="6"/>
        <v>42957418.641518056</v>
      </c>
      <c r="N32" s="138">
        <f t="shared" ref="N32:N37" si="23">+P32/$P$49*$N$49</f>
        <v>-20232588.041107275</v>
      </c>
      <c r="O32" s="138">
        <f t="shared" si="7"/>
        <v>22724830.600410782</v>
      </c>
      <c r="P32" s="138">
        <v>1305531962.1700001</v>
      </c>
      <c r="Q32" s="139">
        <f t="shared" si="10"/>
        <v>1633886037.7311373</v>
      </c>
      <c r="R32" s="71"/>
      <c r="S32" s="71"/>
      <c r="T32" s="68">
        <f>(+P32+M32)/2</f>
        <v>674244690.4057591</v>
      </c>
      <c r="U32" s="71">
        <v>-2654439.8632052517</v>
      </c>
      <c r="V32" s="71"/>
      <c r="W32" s="65">
        <f t="shared" si="20"/>
        <v>59102789.198481947</v>
      </c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56">
        <f t="shared" ref="AQ32:AQ37" si="24">+($G$47+$I$47)*(P32/$P$49)</f>
        <v>26371589.56849914</v>
      </c>
    </row>
    <row r="33" spans="1:43" s="43" customFormat="1" ht="12.75" x14ac:dyDescent="0.15">
      <c r="A33" s="134" t="s">
        <v>45</v>
      </c>
      <c r="B33" s="135">
        <v>64627550.600000001</v>
      </c>
      <c r="C33" s="135">
        <v>12839419.9</v>
      </c>
      <c r="D33" s="135">
        <v>6479742.5099999998</v>
      </c>
      <c r="E33" s="135">
        <v>0</v>
      </c>
      <c r="F33" s="136">
        <f t="shared" si="15"/>
        <v>83946713.010000005</v>
      </c>
      <c r="G33" s="136">
        <f>+(P33/$P$49)*$G$55</f>
        <v>7442002.8380472707</v>
      </c>
      <c r="H33" s="135">
        <v>3157224.25</v>
      </c>
      <c r="I33" s="135">
        <v>36964037.119999997</v>
      </c>
      <c r="J33" s="135">
        <v>26782.01</v>
      </c>
      <c r="K33" s="137">
        <v>0</v>
      </c>
      <c r="L33" s="138">
        <f t="shared" si="5"/>
        <v>47590046.218047269</v>
      </c>
      <c r="M33" s="138">
        <f t="shared" si="6"/>
        <v>36356666.791952737</v>
      </c>
      <c r="N33" s="138">
        <f t="shared" si="23"/>
        <v>-15921081.893724976</v>
      </c>
      <c r="O33" s="138">
        <f t="shared" si="7"/>
        <v>20435584.898227759</v>
      </c>
      <c r="P33" s="138">
        <v>1027326867.05</v>
      </c>
      <c r="Q33" s="139">
        <f t="shared" si="10"/>
        <v>1035757676.9428372</v>
      </c>
      <c r="R33" s="50">
        <f t="shared" ref="R33:AP33" si="25">SUM(R34:R36)</f>
        <v>0</v>
      </c>
      <c r="S33" s="50">
        <f t="shared" si="25"/>
        <v>0</v>
      </c>
      <c r="T33" s="50">
        <f t="shared" si="25"/>
        <v>874438092.42290676</v>
      </c>
      <c r="U33" s="50">
        <f t="shared" si="25"/>
        <v>-9880999.122965429</v>
      </c>
      <c r="V33" s="50">
        <f t="shared" si="25"/>
        <v>0</v>
      </c>
      <c r="W33" s="50">
        <f t="shared" si="25"/>
        <v>95175428.94418636</v>
      </c>
      <c r="X33" s="50">
        <f t="shared" si="25"/>
        <v>0</v>
      </c>
      <c r="Y33" s="50">
        <f t="shared" si="25"/>
        <v>0</v>
      </c>
      <c r="Z33" s="50">
        <f t="shared" si="25"/>
        <v>0</v>
      </c>
      <c r="AA33" s="50">
        <f t="shared" si="25"/>
        <v>0</v>
      </c>
      <c r="AB33" s="50">
        <f t="shared" si="25"/>
        <v>0</v>
      </c>
      <c r="AC33" s="50">
        <f t="shared" si="25"/>
        <v>0</v>
      </c>
      <c r="AD33" s="50">
        <f t="shared" si="25"/>
        <v>0</v>
      </c>
      <c r="AE33" s="50">
        <f t="shared" si="25"/>
        <v>0</v>
      </c>
      <c r="AF33" s="50">
        <f t="shared" si="25"/>
        <v>0</v>
      </c>
      <c r="AG33" s="50">
        <f t="shared" si="25"/>
        <v>0</v>
      </c>
      <c r="AH33" s="50">
        <f t="shared" si="25"/>
        <v>0</v>
      </c>
      <c r="AI33" s="50">
        <f t="shared" si="25"/>
        <v>0</v>
      </c>
      <c r="AJ33" s="50">
        <f t="shared" si="25"/>
        <v>0</v>
      </c>
      <c r="AK33" s="50">
        <f t="shared" si="25"/>
        <v>0</v>
      </c>
      <c r="AL33" s="50">
        <f t="shared" si="25"/>
        <v>0</v>
      </c>
      <c r="AM33" s="50">
        <f t="shared" si="25"/>
        <v>0</v>
      </c>
      <c r="AN33" s="50">
        <f t="shared" si="25"/>
        <v>0</v>
      </c>
      <c r="AO33" s="50">
        <f t="shared" si="25"/>
        <v>0</v>
      </c>
      <c r="AP33" s="50">
        <f t="shared" si="25"/>
        <v>0</v>
      </c>
      <c r="AQ33" s="56">
        <f t="shared" si="24"/>
        <v>20751879.904573992</v>
      </c>
    </row>
    <row r="34" spans="1:43" s="52" customFormat="1" ht="12.75" x14ac:dyDescent="0.15">
      <c r="A34" s="134" t="s">
        <v>46</v>
      </c>
      <c r="B34" s="135">
        <v>70165506.430000007</v>
      </c>
      <c r="C34" s="135">
        <v>15555895.17</v>
      </c>
      <c r="D34" s="135">
        <v>6202733.71</v>
      </c>
      <c r="E34" s="133">
        <f>SUM(E35:E40)</f>
        <v>0</v>
      </c>
      <c r="F34" s="136">
        <f t="shared" si="15"/>
        <v>91924135.310000002</v>
      </c>
      <c r="G34" s="136">
        <f t="shared" si="22"/>
        <v>7161594.4887900567</v>
      </c>
      <c r="H34" s="135">
        <v>717351.82</v>
      </c>
      <c r="I34" s="135">
        <v>37416588.219999999</v>
      </c>
      <c r="J34" s="135">
        <v>206745.98</v>
      </c>
      <c r="K34" s="133">
        <v>0</v>
      </c>
      <c r="L34" s="138">
        <f t="shared" si="5"/>
        <v>45502280.508790053</v>
      </c>
      <c r="M34" s="138">
        <f t="shared" si="6"/>
        <v>46421854.801209949</v>
      </c>
      <c r="N34" s="138">
        <f t="shared" si="23"/>
        <v>-15321189.043727119</v>
      </c>
      <c r="O34" s="138">
        <f t="shared" si="7"/>
        <v>31100665.75748283</v>
      </c>
      <c r="P34" s="138">
        <v>988618062.82000005</v>
      </c>
      <c r="Q34" s="139">
        <f t="shared" si="10"/>
        <v>909470616.8400414</v>
      </c>
      <c r="R34" s="68"/>
      <c r="S34" s="68"/>
      <c r="T34" s="68">
        <f>(+P34+M34)/2</f>
        <v>517519958.81060499</v>
      </c>
      <c r="U34" s="68">
        <v>-2803369.305067936</v>
      </c>
      <c r="V34" s="68"/>
      <c r="W34" s="65">
        <f>+G34+I34</f>
        <v>44578182.708790056</v>
      </c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56">
        <f t="shared" si="24"/>
        <v>19969966.686498359</v>
      </c>
    </row>
    <row r="35" spans="1:43" s="43" customFormat="1" ht="12.75" x14ac:dyDescent="0.15">
      <c r="A35" s="134" t="s">
        <v>47</v>
      </c>
      <c r="B35" s="135">
        <v>20474235.449999999</v>
      </c>
      <c r="C35" s="135">
        <v>4690644.0599999996</v>
      </c>
      <c r="D35" s="135">
        <v>1985145.66</v>
      </c>
      <c r="E35" s="135">
        <v>0</v>
      </c>
      <c r="F35" s="136">
        <f t="shared" si="15"/>
        <v>27150025.169999998</v>
      </c>
      <c r="G35" s="136">
        <f t="shared" si="22"/>
        <v>2191291.772053977</v>
      </c>
      <c r="H35" s="135">
        <v>633477.64</v>
      </c>
      <c r="I35" s="135">
        <v>21723017.350000001</v>
      </c>
      <c r="J35" s="135">
        <v>425285.4</v>
      </c>
      <c r="K35" s="141">
        <v>0</v>
      </c>
      <c r="L35" s="138">
        <f t="shared" si="5"/>
        <v>24973072.162053976</v>
      </c>
      <c r="M35" s="138">
        <f t="shared" si="6"/>
        <v>2176953.0079460219</v>
      </c>
      <c r="N35" s="138">
        <f t="shared" si="23"/>
        <v>-4687949.8053337736</v>
      </c>
      <c r="O35" s="138">
        <f t="shared" si="7"/>
        <v>-2510996.7973877518</v>
      </c>
      <c r="P35" s="138">
        <v>302495572.75999999</v>
      </c>
      <c r="Q35" s="139">
        <f t="shared" si="10"/>
        <v>443598192.65001714</v>
      </c>
      <c r="R35" s="71"/>
      <c r="S35" s="71"/>
      <c r="T35" s="68">
        <f>(+P35+M35)/2</f>
        <v>152336262.883973</v>
      </c>
      <c r="U35" s="71">
        <v>-2014056.8459907323</v>
      </c>
      <c r="V35" s="71"/>
      <c r="W35" s="65">
        <f>+G35+I35</f>
        <v>23914309.122053977</v>
      </c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56">
        <f t="shared" si="24"/>
        <v>6110374.4084942015</v>
      </c>
    </row>
    <row r="36" spans="1:43" s="43" customFormat="1" ht="12.75" x14ac:dyDescent="0.15">
      <c r="A36" s="134" t="s">
        <v>48</v>
      </c>
      <c r="B36" s="135">
        <v>28168825.32</v>
      </c>
      <c r="C36" s="135">
        <v>6637531.6200000001</v>
      </c>
      <c r="D36" s="135">
        <v>2493245.2599999998</v>
      </c>
      <c r="E36" s="135">
        <v>0</v>
      </c>
      <c r="F36" s="136">
        <f t="shared" si="15"/>
        <v>37299602.199999996</v>
      </c>
      <c r="G36" s="136">
        <f t="shared" si="22"/>
        <v>2890780.6933423202</v>
      </c>
      <c r="H36" s="135">
        <v>392877.29</v>
      </c>
      <c r="I36" s="135">
        <v>23792156.420000002</v>
      </c>
      <c r="J36" s="135">
        <v>116152.29</v>
      </c>
      <c r="K36" s="141">
        <v>0</v>
      </c>
      <c r="L36" s="138">
        <f t="shared" si="5"/>
        <v>27191966.693342321</v>
      </c>
      <c r="M36" s="138">
        <f t="shared" si="6"/>
        <v>10107635.506657675</v>
      </c>
      <c r="N36" s="138">
        <f>+P36/$P$49*$N$49</f>
        <v>-6184404.5423098253</v>
      </c>
      <c r="O36" s="138">
        <f>SUM(M36:N36)</f>
        <v>3923230.9643478496</v>
      </c>
      <c r="P36" s="138">
        <v>399056105.94999999</v>
      </c>
      <c r="Q36" s="139">
        <f t="shared" si="10"/>
        <v>492201377.03933734</v>
      </c>
      <c r="R36" s="68"/>
      <c r="S36" s="68"/>
      <c r="T36" s="68">
        <f>(+P36+M36)/2</f>
        <v>204581870.72832882</v>
      </c>
      <c r="U36" s="68">
        <v>-5063572.9719067607</v>
      </c>
      <c r="V36" s="68"/>
      <c r="W36" s="65">
        <f>+G36+I36</f>
        <v>26682937.113342322</v>
      </c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56">
        <f t="shared" si="24"/>
        <v>8060885.6357869506</v>
      </c>
    </row>
    <row r="37" spans="1:43" s="43" customFormat="1" ht="12.75" x14ac:dyDescent="0.15">
      <c r="A37" s="134" t="s">
        <v>49</v>
      </c>
      <c r="B37" s="135">
        <v>53547752.380000003</v>
      </c>
      <c r="C37" s="135">
        <v>15544039.33</v>
      </c>
      <c r="D37" s="135">
        <v>7003275.54</v>
      </c>
      <c r="E37" s="135">
        <v>0</v>
      </c>
      <c r="F37" s="136">
        <f t="shared" si="15"/>
        <v>76095067.250000015</v>
      </c>
      <c r="G37" s="136">
        <f t="shared" si="22"/>
        <v>8389742.6233062092</v>
      </c>
      <c r="H37" s="135">
        <v>493606.51</v>
      </c>
      <c r="I37" s="135">
        <v>34982260.039999999</v>
      </c>
      <c r="J37" s="135">
        <v>544070.9</v>
      </c>
      <c r="K37" s="141">
        <v>0</v>
      </c>
      <c r="L37" s="138">
        <f>+G37+H37+I37+J37+K37</f>
        <v>44409680.07330621</v>
      </c>
      <c r="M37" s="138">
        <f>+F37-L37</f>
        <v>31685387.176693805</v>
      </c>
      <c r="N37" s="138">
        <f t="shared" si="23"/>
        <v>-17948633.221427526</v>
      </c>
      <c r="O37" s="138">
        <f t="shared" si="7"/>
        <v>13736753.955266278</v>
      </c>
      <c r="P37" s="138">
        <v>1158157043.49</v>
      </c>
      <c r="Q37" s="139">
        <f t="shared" si="10"/>
        <v>1444061550.4222486</v>
      </c>
      <c r="R37" s="50">
        <f t="shared" ref="R37:AP37" si="26">SUM(R38:R38)</f>
        <v>0</v>
      </c>
      <c r="S37" s="50">
        <f t="shared" si="26"/>
        <v>0</v>
      </c>
      <c r="T37" s="50">
        <f t="shared" si="26"/>
        <v>0</v>
      </c>
      <c r="U37" s="50">
        <f t="shared" si="26"/>
        <v>0</v>
      </c>
      <c r="V37" s="50">
        <f t="shared" si="26"/>
        <v>0</v>
      </c>
      <c r="W37" s="50">
        <f t="shared" si="26"/>
        <v>36054631.013697959</v>
      </c>
      <c r="X37" s="50">
        <f t="shared" si="26"/>
        <v>0</v>
      </c>
      <c r="Y37" s="50">
        <f t="shared" si="26"/>
        <v>0</v>
      </c>
      <c r="Z37" s="50">
        <f t="shared" si="26"/>
        <v>0</v>
      </c>
      <c r="AA37" s="50">
        <f t="shared" si="26"/>
        <v>0</v>
      </c>
      <c r="AB37" s="50">
        <f t="shared" si="26"/>
        <v>0</v>
      </c>
      <c r="AC37" s="50">
        <f t="shared" si="26"/>
        <v>0</v>
      </c>
      <c r="AD37" s="50">
        <f t="shared" si="26"/>
        <v>0</v>
      </c>
      <c r="AE37" s="50">
        <f t="shared" si="26"/>
        <v>0</v>
      </c>
      <c r="AF37" s="50">
        <f t="shared" si="26"/>
        <v>0</v>
      </c>
      <c r="AG37" s="50">
        <f t="shared" si="26"/>
        <v>0</v>
      </c>
      <c r="AH37" s="50">
        <f t="shared" si="26"/>
        <v>0</v>
      </c>
      <c r="AI37" s="50">
        <f t="shared" si="26"/>
        <v>0</v>
      </c>
      <c r="AJ37" s="50">
        <f t="shared" si="26"/>
        <v>0</v>
      </c>
      <c r="AK37" s="50">
        <f t="shared" si="26"/>
        <v>0</v>
      </c>
      <c r="AL37" s="50">
        <f t="shared" si="26"/>
        <v>0</v>
      </c>
      <c r="AM37" s="50">
        <f t="shared" si="26"/>
        <v>0</v>
      </c>
      <c r="AN37" s="50">
        <f t="shared" si="26"/>
        <v>0</v>
      </c>
      <c r="AO37" s="50">
        <f t="shared" si="26"/>
        <v>0</v>
      </c>
      <c r="AP37" s="50">
        <f t="shared" si="26"/>
        <v>0</v>
      </c>
      <c r="AQ37" s="56">
        <f t="shared" si="24"/>
        <v>23394633.828817435</v>
      </c>
    </row>
    <row r="38" spans="1:43" s="43" customFormat="1" ht="12.75" x14ac:dyDescent="0.15">
      <c r="A38" s="142" t="s">
        <v>50</v>
      </c>
      <c r="B38" s="133">
        <f>SUM(B39:B44)</f>
        <v>286086211.84000003</v>
      </c>
      <c r="C38" s="133">
        <f>SUM(C39:C44)</f>
        <v>67434011.549999997</v>
      </c>
      <c r="D38" s="133">
        <f>SUM(D39:D44)</f>
        <v>26879594.980000004</v>
      </c>
      <c r="E38" s="133">
        <f>SUM(E39:E44)</f>
        <v>0</v>
      </c>
      <c r="F38" s="133">
        <f>SUM(F39:F44)</f>
        <v>380399818.37</v>
      </c>
      <c r="G38" s="133">
        <f t="shared" ref="G38:AP38" si="27">SUM(G39:G44)</f>
        <v>30877548.111629181</v>
      </c>
      <c r="H38" s="133">
        <f t="shared" si="27"/>
        <v>3234871.4600000004</v>
      </c>
      <c r="I38" s="133">
        <f t="shared" si="27"/>
        <v>227788496.28</v>
      </c>
      <c r="J38" s="133">
        <f t="shared" si="27"/>
        <v>22634134.859999999</v>
      </c>
      <c r="K38" s="133">
        <f t="shared" si="27"/>
        <v>0</v>
      </c>
      <c r="L38" s="133">
        <f t="shared" si="27"/>
        <v>284535050.71162915</v>
      </c>
      <c r="M38" s="133">
        <f t="shared" si="27"/>
        <v>95864767.658370823</v>
      </c>
      <c r="N38" s="133">
        <f t="shared" si="27"/>
        <v>-66058019.9794273</v>
      </c>
      <c r="O38" s="133">
        <f t="shared" si="27"/>
        <v>29806747.678943522</v>
      </c>
      <c r="P38" s="133">
        <f t="shared" si="27"/>
        <v>4262472811.96</v>
      </c>
      <c r="Q38" s="133">
        <f t="shared" si="27"/>
        <v>5139225447.6348591</v>
      </c>
      <c r="R38" s="50">
        <f t="shared" si="27"/>
        <v>0</v>
      </c>
      <c r="S38" s="50">
        <f t="shared" si="27"/>
        <v>0</v>
      </c>
      <c r="T38" s="50">
        <f t="shared" si="27"/>
        <v>0</v>
      </c>
      <c r="U38" s="50">
        <f t="shared" si="27"/>
        <v>0</v>
      </c>
      <c r="V38" s="50">
        <f t="shared" si="27"/>
        <v>0</v>
      </c>
      <c r="W38" s="50">
        <f t="shared" si="27"/>
        <v>36054631.013697959</v>
      </c>
      <c r="X38" s="50">
        <f t="shared" si="27"/>
        <v>0</v>
      </c>
      <c r="Y38" s="50">
        <f t="shared" si="27"/>
        <v>0</v>
      </c>
      <c r="Z38" s="50">
        <f t="shared" si="27"/>
        <v>0</v>
      </c>
      <c r="AA38" s="50">
        <f t="shared" si="27"/>
        <v>0</v>
      </c>
      <c r="AB38" s="50">
        <f t="shared" si="27"/>
        <v>0</v>
      </c>
      <c r="AC38" s="50">
        <f t="shared" si="27"/>
        <v>0</v>
      </c>
      <c r="AD38" s="50">
        <f t="shared" si="27"/>
        <v>0</v>
      </c>
      <c r="AE38" s="50">
        <f t="shared" si="27"/>
        <v>0</v>
      </c>
      <c r="AF38" s="50">
        <f t="shared" si="27"/>
        <v>0</v>
      </c>
      <c r="AG38" s="50">
        <f t="shared" si="27"/>
        <v>0</v>
      </c>
      <c r="AH38" s="50">
        <f t="shared" si="27"/>
        <v>0</v>
      </c>
      <c r="AI38" s="50">
        <f t="shared" si="27"/>
        <v>0</v>
      </c>
      <c r="AJ38" s="50">
        <f t="shared" si="27"/>
        <v>0</v>
      </c>
      <c r="AK38" s="50">
        <f t="shared" si="27"/>
        <v>0</v>
      </c>
      <c r="AL38" s="50">
        <f t="shared" si="27"/>
        <v>0</v>
      </c>
      <c r="AM38" s="50">
        <f t="shared" si="27"/>
        <v>0</v>
      </c>
      <c r="AN38" s="50">
        <f t="shared" si="27"/>
        <v>0</v>
      </c>
      <c r="AO38" s="50">
        <f t="shared" si="27"/>
        <v>0</v>
      </c>
      <c r="AP38" s="50">
        <f t="shared" si="27"/>
        <v>0</v>
      </c>
      <c r="AQ38" s="50">
        <f>SUM(AQ39:AQ44)</f>
        <v>86101441.252388328</v>
      </c>
    </row>
    <row r="39" spans="1:43" s="43" customFormat="1" ht="13.5" customHeight="1" x14ac:dyDescent="0.15">
      <c r="A39" s="134" t="s">
        <v>51</v>
      </c>
      <c r="B39" s="135">
        <v>25470035.23</v>
      </c>
      <c r="C39" s="135">
        <v>14195494.220000001</v>
      </c>
      <c r="D39" s="135">
        <v>2456764.79</v>
      </c>
      <c r="E39" s="135">
        <v>0</v>
      </c>
      <c r="F39" s="136">
        <f t="shared" si="15"/>
        <v>42122294.240000002</v>
      </c>
      <c r="G39" s="136">
        <f t="shared" ref="G39:G44" si="28">+(P39/$P$49)*$G$55</f>
        <v>2841340.7436979576</v>
      </c>
      <c r="H39" s="135">
        <v>460515.03</v>
      </c>
      <c r="I39" s="135">
        <v>33213290.27</v>
      </c>
      <c r="J39" s="135">
        <v>826090.6</v>
      </c>
      <c r="K39" s="141">
        <v>0</v>
      </c>
      <c r="L39" s="138">
        <f t="shared" ref="L39:L44" si="29">+G39+H39+I39+J39+K39</f>
        <v>37341236.643697955</v>
      </c>
      <c r="M39" s="138">
        <f t="shared" si="6"/>
        <v>4781057.5963020474</v>
      </c>
      <c r="N39" s="138">
        <f t="shared" ref="N39:N44" si="30">+P39/$P$49*$N$49</f>
        <v>-6078634.9659955977</v>
      </c>
      <c r="O39" s="138">
        <f t="shared" si="7"/>
        <v>-1297577.3696935503</v>
      </c>
      <c r="P39" s="138">
        <v>392231197.43000001</v>
      </c>
      <c r="Q39" s="139">
        <f t="shared" si="10"/>
        <v>677243194.03893042</v>
      </c>
      <c r="R39" s="56"/>
      <c r="S39" s="56"/>
      <c r="T39" s="56"/>
      <c r="U39" s="56"/>
      <c r="V39" s="56"/>
      <c r="W39" s="56">
        <f>+G39+I39</f>
        <v>36054631.013697959</v>
      </c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>
        <f t="shared" ref="AQ39:AQ44" si="31">+($G$47+$I$47)*(P39/$P$49)</f>
        <v>7923023.299553657</v>
      </c>
    </row>
    <row r="40" spans="1:43" s="43" customFormat="1" ht="13.5" customHeight="1" x14ac:dyDescent="0.15">
      <c r="A40" s="134" t="s">
        <v>52</v>
      </c>
      <c r="B40" s="135">
        <v>52798096.75</v>
      </c>
      <c r="C40" s="135">
        <v>7277785.0199999996</v>
      </c>
      <c r="D40" s="135">
        <v>4633575.6900000004</v>
      </c>
      <c r="E40" s="135">
        <v>0</v>
      </c>
      <c r="F40" s="136">
        <f t="shared" si="15"/>
        <v>64709457.459999993</v>
      </c>
      <c r="G40" s="136">
        <f t="shared" si="28"/>
        <v>5742887.4472296247</v>
      </c>
      <c r="H40" s="135">
        <v>588297.05000000005</v>
      </c>
      <c r="I40" s="135">
        <v>38741595.299999997</v>
      </c>
      <c r="J40" s="135">
        <v>1428714.68</v>
      </c>
      <c r="K40" s="141">
        <v>0</v>
      </c>
      <c r="L40" s="138">
        <f t="shared" si="29"/>
        <v>46501494.477229618</v>
      </c>
      <c r="M40" s="138">
        <f t="shared" si="6"/>
        <v>18207962.982770376</v>
      </c>
      <c r="N40" s="138">
        <f t="shared" si="30"/>
        <v>-12286071.820120323</v>
      </c>
      <c r="O40" s="138">
        <f t="shared" si="7"/>
        <v>5921891.1626500525</v>
      </c>
      <c r="P40" s="138">
        <v>792773490.87</v>
      </c>
      <c r="Q40" s="139">
        <f t="shared" si="10"/>
        <v>908395200.12695146</v>
      </c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>
        <f t="shared" si="31"/>
        <v>16013929.744975153</v>
      </c>
    </row>
    <row r="41" spans="1:43" s="43" customFormat="1" ht="13.5" customHeight="1" x14ac:dyDescent="0.15">
      <c r="A41" s="134" t="s">
        <v>53</v>
      </c>
      <c r="B41" s="135">
        <v>33972912.479999997</v>
      </c>
      <c r="C41" s="135">
        <v>15978444.380000001</v>
      </c>
      <c r="D41" s="135">
        <v>3319422.14</v>
      </c>
      <c r="E41" s="135">
        <v>0</v>
      </c>
      <c r="F41" s="136">
        <f t="shared" si="15"/>
        <v>53270779</v>
      </c>
      <c r="G41" s="136">
        <f t="shared" si="28"/>
        <v>3417803.6110094101</v>
      </c>
      <c r="H41" s="135">
        <v>1016548.56</v>
      </c>
      <c r="I41" s="135">
        <v>48102346.200000003</v>
      </c>
      <c r="J41" s="135">
        <v>516452.13</v>
      </c>
      <c r="K41" s="141">
        <v>0</v>
      </c>
      <c r="L41" s="138">
        <f t="shared" si="29"/>
        <v>53053150.501009412</v>
      </c>
      <c r="M41" s="138">
        <f t="shared" si="6"/>
        <v>217628.49899058789</v>
      </c>
      <c r="N41" s="138">
        <f t="shared" si="30"/>
        <v>-7311893.366843692</v>
      </c>
      <c r="O41" s="138">
        <f t="shared" si="7"/>
        <v>-7094264.8678531041</v>
      </c>
      <c r="P41" s="138">
        <v>471808671.98000002</v>
      </c>
      <c r="Q41" s="139">
        <f t="shared" si="10"/>
        <v>847858305.1276269</v>
      </c>
      <c r="R41" s="50">
        <f t="shared" ref="R41:AP41" si="32">SUM(R42:R44)</f>
        <v>0</v>
      </c>
      <c r="S41" s="50">
        <f t="shared" si="32"/>
        <v>0</v>
      </c>
      <c r="T41" s="50">
        <f t="shared" si="32"/>
        <v>0</v>
      </c>
      <c r="U41" s="50">
        <f t="shared" si="32"/>
        <v>0</v>
      </c>
      <c r="V41" s="50">
        <f t="shared" si="32"/>
        <v>0</v>
      </c>
      <c r="W41" s="50">
        <f t="shared" si="32"/>
        <v>0</v>
      </c>
      <c r="X41" s="50">
        <f t="shared" si="32"/>
        <v>0</v>
      </c>
      <c r="Y41" s="50">
        <f t="shared" si="32"/>
        <v>0</v>
      </c>
      <c r="Z41" s="50">
        <f t="shared" si="32"/>
        <v>0</v>
      </c>
      <c r="AA41" s="50">
        <f t="shared" si="32"/>
        <v>0</v>
      </c>
      <c r="AB41" s="50">
        <f t="shared" si="32"/>
        <v>0</v>
      </c>
      <c r="AC41" s="50">
        <f t="shared" si="32"/>
        <v>0</v>
      </c>
      <c r="AD41" s="50">
        <f t="shared" si="32"/>
        <v>0</v>
      </c>
      <c r="AE41" s="50">
        <f t="shared" si="32"/>
        <v>0</v>
      </c>
      <c r="AF41" s="50">
        <f t="shared" si="32"/>
        <v>0</v>
      </c>
      <c r="AG41" s="50">
        <f t="shared" si="32"/>
        <v>0</v>
      </c>
      <c r="AH41" s="50">
        <f t="shared" si="32"/>
        <v>0</v>
      </c>
      <c r="AI41" s="50">
        <f t="shared" si="32"/>
        <v>0</v>
      </c>
      <c r="AJ41" s="50">
        <f t="shared" si="32"/>
        <v>0</v>
      </c>
      <c r="AK41" s="50">
        <f t="shared" si="32"/>
        <v>0</v>
      </c>
      <c r="AL41" s="50">
        <f t="shared" si="32"/>
        <v>0</v>
      </c>
      <c r="AM41" s="50">
        <f t="shared" si="32"/>
        <v>0</v>
      </c>
      <c r="AN41" s="50">
        <f t="shared" si="32"/>
        <v>0</v>
      </c>
      <c r="AO41" s="50">
        <f t="shared" si="32"/>
        <v>0</v>
      </c>
      <c r="AP41" s="50">
        <f t="shared" si="32"/>
        <v>0</v>
      </c>
      <c r="AQ41" s="56">
        <f t="shared" si="31"/>
        <v>9530478.7725258451</v>
      </c>
    </row>
    <row r="42" spans="1:43" s="54" customFormat="1" ht="13.5" customHeight="1" x14ac:dyDescent="0.15">
      <c r="A42" s="134" t="s">
        <v>54</v>
      </c>
      <c r="B42" s="135">
        <v>112323926.63</v>
      </c>
      <c r="C42" s="135">
        <v>16446729.27</v>
      </c>
      <c r="D42" s="135">
        <v>11093041.26</v>
      </c>
      <c r="E42" s="135">
        <v>0</v>
      </c>
      <c r="F42" s="136">
        <f>+B42+C42+D42+E42</f>
        <v>139863697.16</v>
      </c>
      <c r="G42" s="136">
        <f t="shared" si="28"/>
        <v>11961547.798272753</v>
      </c>
      <c r="H42" s="135">
        <v>560402.56000000006</v>
      </c>
      <c r="I42" s="135">
        <v>47241827.049999997</v>
      </c>
      <c r="J42" s="135">
        <v>17811975.039999999</v>
      </c>
      <c r="K42" s="141">
        <v>0</v>
      </c>
      <c r="L42" s="138">
        <f t="shared" si="29"/>
        <v>77575752.44827275</v>
      </c>
      <c r="M42" s="138">
        <f t="shared" si="6"/>
        <v>62287944.711727247</v>
      </c>
      <c r="N42" s="138">
        <f t="shared" si="30"/>
        <v>-25589990.51953822</v>
      </c>
      <c r="O42" s="138">
        <f t="shared" si="7"/>
        <v>36697954.192189023</v>
      </c>
      <c r="P42" s="138">
        <v>1651224770.01</v>
      </c>
      <c r="Q42" s="139">
        <f t="shared" si="10"/>
        <v>1360653345.4958556</v>
      </c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>
        <f t="shared" si="31"/>
        <v>33354542.961678047</v>
      </c>
    </row>
    <row r="43" spans="1:43" s="43" customFormat="1" ht="13.5" customHeight="1" x14ac:dyDescent="0.15">
      <c r="A43" s="134" t="s">
        <v>55</v>
      </c>
      <c r="B43" s="135">
        <v>25620236.309999999</v>
      </c>
      <c r="C43" s="135">
        <v>8544382.4600000009</v>
      </c>
      <c r="D43" s="135">
        <v>2245075.02</v>
      </c>
      <c r="E43" s="135">
        <v>0</v>
      </c>
      <c r="F43" s="136">
        <f t="shared" si="15"/>
        <v>36409693.789999999</v>
      </c>
      <c r="G43" s="136">
        <f t="shared" si="28"/>
        <v>2886115.0710616871</v>
      </c>
      <c r="H43" s="135">
        <v>478078.35</v>
      </c>
      <c r="I43" s="135">
        <v>29696254.989999998</v>
      </c>
      <c r="J43" s="135">
        <v>1309800.8999999999</v>
      </c>
      <c r="K43" s="141">
        <v>0</v>
      </c>
      <c r="L43" s="138">
        <f t="shared" si="29"/>
        <v>34370249.311061688</v>
      </c>
      <c r="M43" s="138">
        <f t="shared" si="6"/>
        <v>2039444.4789383113</v>
      </c>
      <c r="N43" s="138">
        <f t="shared" si="30"/>
        <v>-6174423.122518451</v>
      </c>
      <c r="O43" s="138">
        <f>SUM(M43:N43)</f>
        <v>-4134978.6435801396</v>
      </c>
      <c r="P43" s="138">
        <v>398412042.88999999</v>
      </c>
      <c r="Q43" s="139">
        <f>+((I43+G43)+AQ43)/((B43)/P43)</f>
        <v>631827864.37271392</v>
      </c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>
        <f t="shared" si="31"/>
        <v>8047875.6389682442</v>
      </c>
    </row>
    <row r="44" spans="1:43" s="43" customFormat="1" ht="13.5" customHeight="1" x14ac:dyDescent="0.15">
      <c r="A44" s="134" t="s">
        <v>56</v>
      </c>
      <c r="B44" s="135">
        <v>35901004.439999998</v>
      </c>
      <c r="C44" s="135">
        <v>4991176.2</v>
      </c>
      <c r="D44" s="135">
        <v>3131716.08</v>
      </c>
      <c r="E44" s="135">
        <v>0</v>
      </c>
      <c r="F44" s="136">
        <f t="shared" si="15"/>
        <v>44023896.719999999</v>
      </c>
      <c r="G44" s="136">
        <f t="shared" si="28"/>
        <v>4027853.4403577507</v>
      </c>
      <c r="H44" s="135">
        <v>131029.91</v>
      </c>
      <c r="I44" s="135">
        <v>30793182.469999999</v>
      </c>
      <c r="J44" s="135">
        <v>741101.51</v>
      </c>
      <c r="K44" s="141">
        <v>0</v>
      </c>
      <c r="L44" s="138">
        <f t="shared" si="29"/>
        <v>35693167.330357745</v>
      </c>
      <c r="M44" s="138">
        <f t="shared" si="6"/>
        <v>8330729.3896422535</v>
      </c>
      <c r="N44" s="138">
        <f t="shared" si="30"/>
        <v>-8617006.1844110135</v>
      </c>
      <c r="O44" s="138">
        <f t="shared" si="7"/>
        <v>-286276.79476875998</v>
      </c>
      <c r="P44" s="138">
        <v>556022638.77999997</v>
      </c>
      <c r="Q44" s="139">
        <f>+((I44+G44)+AQ44)/((B44)/P44)</f>
        <v>713247538.47278154</v>
      </c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>
        <f t="shared" si="31"/>
        <v>11231590.834687386</v>
      </c>
    </row>
    <row r="45" spans="1:43" s="43" customFormat="1" ht="13.5" customHeight="1" x14ac:dyDescent="0.15">
      <c r="A45" s="143" t="s">
        <v>428</v>
      </c>
      <c r="B45" s="133">
        <f t="shared" ref="B45:AQ45" si="33">B8+B15+B23+B31+B38</f>
        <v>1798120462.6200004</v>
      </c>
      <c r="C45" s="133">
        <f t="shared" si="33"/>
        <v>361312346.42000002</v>
      </c>
      <c r="D45" s="133">
        <f t="shared" si="33"/>
        <v>188337631.97000003</v>
      </c>
      <c r="E45" s="133">
        <f t="shared" si="33"/>
        <v>0</v>
      </c>
      <c r="F45" s="133">
        <f t="shared" si="33"/>
        <v>2349622390.3199997</v>
      </c>
      <c r="G45" s="133">
        <f t="shared" si="33"/>
        <v>209019719.08275595</v>
      </c>
      <c r="H45" s="133">
        <f t="shared" si="33"/>
        <v>38426593.380000003</v>
      </c>
      <c r="I45" s="133">
        <f t="shared" si="33"/>
        <v>1214269339.6199999</v>
      </c>
      <c r="J45" s="133">
        <f t="shared" si="33"/>
        <v>112270262.97</v>
      </c>
      <c r="K45" s="133">
        <f>K8+K15+K23+K31+K38</f>
        <v>0</v>
      </c>
      <c r="L45" s="133">
        <f t="shared" si="33"/>
        <v>1573985915.0527558</v>
      </c>
      <c r="M45" s="133">
        <f t="shared" si="33"/>
        <v>775636475.2672441</v>
      </c>
      <c r="N45" s="133">
        <f t="shared" si="33"/>
        <v>-447167266.30450249</v>
      </c>
      <c r="O45" s="133">
        <f>O8+O15+O23+O31+O38+1</f>
        <v>328469209.96274161</v>
      </c>
      <c r="P45" s="133">
        <f>P8+P15+P23+P31+P38+1</f>
        <v>28854003127.57</v>
      </c>
      <c r="Q45" s="133">
        <f t="shared" si="33"/>
        <v>32585604385.959717</v>
      </c>
      <c r="R45" s="50">
        <f t="shared" si="33"/>
        <v>20596879.02</v>
      </c>
      <c r="S45" s="50">
        <f t="shared" si="33"/>
        <v>20596857.309561931</v>
      </c>
      <c r="T45" s="50">
        <f t="shared" si="33"/>
        <v>32665527519.081097</v>
      </c>
      <c r="U45" s="50">
        <f t="shared" si="33"/>
        <v>-337002365.59040713</v>
      </c>
      <c r="V45" s="50">
        <f t="shared" si="33"/>
        <v>20596879.02</v>
      </c>
      <c r="W45" s="50">
        <f t="shared" si="33"/>
        <v>3590218868.7062864</v>
      </c>
      <c r="X45" s="50">
        <f t="shared" si="33"/>
        <v>20596879.02</v>
      </c>
      <c r="Y45" s="50">
        <f t="shared" si="33"/>
        <v>20596879.02</v>
      </c>
      <c r="Z45" s="50">
        <f t="shared" si="33"/>
        <v>20596879.02</v>
      </c>
      <c r="AA45" s="50">
        <f t="shared" si="33"/>
        <v>20596879.02</v>
      </c>
      <c r="AB45" s="50">
        <f t="shared" si="33"/>
        <v>20596879.02</v>
      </c>
      <c r="AC45" s="50">
        <f t="shared" si="33"/>
        <v>20596879.02</v>
      </c>
      <c r="AD45" s="50">
        <f t="shared" si="33"/>
        <v>20596879.02</v>
      </c>
      <c r="AE45" s="50">
        <f t="shared" si="33"/>
        <v>20596879.02</v>
      </c>
      <c r="AF45" s="50">
        <f t="shared" si="33"/>
        <v>20596879.02</v>
      </c>
      <c r="AG45" s="50">
        <f t="shared" si="33"/>
        <v>20596879.02</v>
      </c>
      <c r="AH45" s="50">
        <f t="shared" si="33"/>
        <v>20596879.02</v>
      </c>
      <c r="AI45" s="50">
        <f t="shared" si="33"/>
        <v>20596879.02</v>
      </c>
      <c r="AJ45" s="50">
        <f t="shared" si="33"/>
        <v>20596879.02</v>
      </c>
      <c r="AK45" s="50">
        <f t="shared" si="33"/>
        <v>20596879.02</v>
      </c>
      <c r="AL45" s="50">
        <f t="shared" si="33"/>
        <v>20596879.02</v>
      </c>
      <c r="AM45" s="50">
        <f t="shared" si="33"/>
        <v>20596879.02</v>
      </c>
      <c r="AN45" s="50">
        <f t="shared" si="33"/>
        <v>20596879.02</v>
      </c>
      <c r="AO45" s="50">
        <f t="shared" si="33"/>
        <v>20596879.02</v>
      </c>
      <c r="AP45" s="50">
        <f t="shared" si="33"/>
        <v>20596879.02</v>
      </c>
      <c r="AQ45" s="50">
        <f t="shared" si="33"/>
        <v>582847413.8598001</v>
      </c>
    </row>
    <row r="46" spans="1:43" s="43" customFormat="1" ht="9" customHeight="1" x14ac:dyDescent="0.2">
      <c r="A46" s="144"/>
      <c r="B46" s="133"/>
      <c r="C46" s="133"/>
      <c r="D46" s="133"/>
      <c r="E46" s="133"/>
      <c r="F46" s="145"/>
      <c r="G46" s="133"/>
      <c r="H46" s="133"/>
      <c r="I46" s="133"/>
      <c r="J46" s="133"/>
      <c r="K46" s="133"/>
      <c r="L46" s="133"/>
      <c r="M46" s="145"/>
      <c r="N46" s="145"/>
      <c r="O46" s="145"/>
      <c r="P46" s="146"/>
      <c r="Q46" s="145"/>
      <c r="R46" s="73"/>
      <c r="S46" s="73"/>
      <c r="T46" s="73"/>
      <c r="U46" s="73"/>
      <c r="V46" s="73"/>
      <c r="W46" s="65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</row>
    <row r="47" spans="1:43" s="43" customFormat="1" ht="12.75" x14ac:dyDescent="0.2">
      <c r="A47" s="147" t="s">
        <v>419</v>
      </c>
      <c r="B47" s="139">
        <v>113498248.13</v>
      </c>
      <c r="C47" s="139">
        <v>19511535.059999999</v>
      </c>
      <c r="D47" s="139">
        <v>4079844.68</v>
      </c>
      <c r="E47" s="148">
        <v>0</v>
      </c>
      <c r="F47" s="136">
        <f>+B47+C47+D47</f>
        <v>137089627.87</v>
      </c>
      <c r="G47" s="136">
        <f>G62+G63</f>
        <v>150251612.47</v>
      </c>
      <c r="H47" s="139">
        <v>1239739.31</v>
      </c>
      <c r="I47" s="139">
        <v>432595801.41000003</v>
      </c>
      <c r="J47" s="135">
        <v>0</v>
      </c>
      <c r="K47" s="141">
        <v>169740</v>
      </c>
      <c r="L47" s="138">
        <f>+G47+H47+I47+J47+K47</f>
        <v>584256893.19000006</v>
      </c>
      <c r="M47" s="138"/>
      <c r="N47" s="103">
        <f>F47-L47-1</f>
        <v>-447167266.32000005</v>
      </c>
      <c r="O47" s="103">
        <v>0</v>
      </c>
      <c r="P47" s="149">
        <v>0</v>
      </c>
      <c r="Q47" s="103">
        <v>0</v>
      </c>
      <c r="R47" s="74"/>
      <c r="S47" s="68" t="s">
        <v>18</v>
      </c>
      <c r="T47" s="68"/>
      <c r="U47" s="68"/>
      <c r="V47" s="68"/>
      <c r="W47" s="65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</row>
    <row r="48" spans="1:43" s="43" customFormat="1" ht="11.25" customHeight="1" x14ac:dyDescent="0.2">
      <c r="A48" s="150"/>
      <c r="B48" s="151"/>
      <c r="C48" s="151"/>
      <c r="D48" s="151"/>
      <c r="E48" s="151"/>
      <c r="F48" s="103"/>
      <c r="G48" s="151"/>
      <c r="H48" s="151"/>
      <c r="I48" s="151"/>
      <c r="J48" s="151"/>
      <c r="K48" s="151"/>
      <c r="L48" s="138"/>
      <c r="M48" s="103"/>
      <c r="N48" s="103"/>
      <c r="O48" s="103"/>
      <c r="P48" s="152"/>
      <c r="Q48" s="103"/>
      <c r="R48" s="74"/>
      <c r="S48" s="68" t="s">
        <v>18</v>
      </c>
      <c r="T48" s="68"/>
      <c r="U48" s="68"/>
      <c r="V48" s="68"/>
      <c r="W48" s="65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</row>
    <row r="49" spans="1:43" s="43" customFormat="1" ht="13.5" thickBot="1" x14ac:dyDescent="0.25">
      <c r="A49" s="153" t="s">
        <v>429</v>
      </c>
      <c r="B49" s="154">
        <f t="shared" ref="B49:J49" si="34">+B45+B47</f>
        <v>1911618710.7500005</v>
      </c>
      <c r="C49" s="154">
        <f>+C45+C47</f>
        <v>380823881.48000002</v>
      </c>
      <c r="D49" s="154">
        <f t="shared" si="34"/>
        <v>192417476.65000004</v>
      </c>
      <c r="E49" s="154">
        <f t="shared" si="34"/>
        <v>0</v>
      </c>
      <c r="F49" s="154">
        <f t="shared" si="34"/>
        <v>2486712018.1899996</v>
      </c>
      <c r="G49" s="155">
        <f t="shared" si="34"/>
        <v>359271331.55275595</v>
      </c>
      <c r="H49" s="154">
        <f t="shared" si="34"/>
        <v>39666332.690000005</v>
      </c>
      <c r="I49" s="154">
        <f t="shared" si="34"/>
        <v>1646865141.03</v>
      </c>
      <c r="J49" s="154">
        <f t="shared" si="34"/>
        <v>112270262.97</v>
      </c>
      <c r="K49" s="154">
        <f>+K45+K47</f>
        <v>169740</v>
      </c>
      <c r="L49" s="154">
        <f>+L45+L47</f>
        <v>2158242808.2427559</v>
      </c>
      <c r="M49" s="154"/>
      <c r="N49" s="156">
        <f>N47</f>
        <v>-447167266.32000005</v>
      </c>
      <c r="O49" s="156">
        <f>+O45</f>
        <v>328469209.96274161</v>
      </c>
      <c r="P49" s="156">
        <f>+P45</f>
        <v>28854003127.57</v>
      </c>
      <c r="Q49" s="156">
        <f>+Q45</f>
        <v>32585604385.959717</v>
      </c>
      <c r="R49" s="58">
        <f t="shared" ref="R49:AQ49" si="35">+R45</f>
        <v>20596879.02</v>
      </c>
      <c r="S49" s="58">
        <f t="shared" si="35"/>
        <v>20596857.309561931</v>
      </c>
      <c r="T49" s="58">
        <f t="shared" si="35"/>
        <v>32665527519.081097</v>
      </c>
      <c r="U49" s="58">
        <f t="shared" si="35"/>
        <v>-337002365.59040713</v>
      </c>
      <c r="V49" s="58">
        <f t="shared" si="35"/>
        <v>20596879.02</v>
      </c>
      <c r="W49" s="58">
        <f t="shared" si="35"/>
        <v>3590218868.7062864</v>
      </c>
      <c r="X49" s="58">
        <f t="shared" si="35"/>
        <v>20596879.02</v>
      </c>
      <c r="Y49" s="58">
        <f t="shared" si="35"/>
        <v>20596879.02</v>
      </c>
      <c r="Z49" s="58">
        <f t="shared" si="35"/>
        <v>20596879.02</v>
      </c>
      <c r="AA49" s="58">
        <f t="shared" si="35"/>
        <v>20596879.02</v>
      </c>
      <c r="AB49" s="58">
        <f t="shared" si="35"/>
        <v>20596879.02</v>
      </c>
      <c r="AC49" s="58">
        <f t="shared" si="35"/>
        <v>20596879.02</v>
      </c>
      <c r="AD49" s="58">
        <f t="shared" si="35"/>
        <v>20596879.02</v>
      </c>
      <c r="AE49" s="58">
        <f t="shared" si="35"/>
        <v>20596879.02</v>
      </c>
      <c r="AF49" s="58">
        <f t="shared" si="35"/>
        <v>20596879.02</v>
      </c>
      <c r="AG49" s="58">
        <f t="shared" si="35"/>
        <v>20596879.02</v>
      </c>
      <c r="AH49" s="58">
        <f t="shared" si="35"/>
        <v>20596879.02</v>
      </c>
      <c r="AI49" s="58">
        <f t="shared" si="35"/>
        <v>20596879.02</v>
      </c>
      <c r="AJ49" s="58">
        <f t="shared" si="35"/>
        <v>20596879.02</v>
      </c>
      <c r="AK49" s="58">
        <f t="shared" si="35"/>
        <v>20596879.02</v>
      </c>
      <c r="AL49" s="58">
        <f t="shared" si="35"/>
        <v>20596879.02</v>
      </c>
      <c r="AM49" s="58">
        <f t="shared" si="35"/>
        <v>20596879.02</v>
      </c>
      <c r="AN49" s="58">
        <f t="shared" si="35"/>
        <v>20596879.02</v>
      </c>
      <c r="AO49" s="58">
        <f t="shared" si="35"/>
        <v>20596879.02</v>
      </c>
      <c r="AP49" s="58">
        <f t="shared" si="35"/>
        <v>20596879.02</v>
      </c>
      <c r="AQ49" s="58">
        <f t="shared" si="35"/>
        <v>582847413.8598001</v>
      </c>
    </row>
    <row r="50" spans="1:43" s="43" customFormat="1" ht="9.75" thickTop="1" x14ac:dyDescent="0.15">
      <c r="A50" s="75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77"/>
      <c r="O50" s="77"/>
      <c r="P50" s="77"/>
      <c r="Q50" s="77"/>
      <c r="R50" s="60"/>
      <c r="S50" s="60"/>
      <c r="T50" s="60"/>
      <c r="U50" s="60"/>
      <c r="V50" s="60"/>
      <c r="W50" s="53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9"/>
    </row>
    <row r="51" spans="1:43" s="43" customFormat="1" ht="30.75" customHeight="1" x14ac:dyDescent="0.2">
      <c r="B51" s="77"/>
      <c r="C51" s="77"/>
      <c r="D51" s="77"/>
      <c r="E51" s="83"/>
      <c r="F51" s="84"/>
      <c r="G51" s="85"/>
      <c r="H51" s="86"/>
      <c r="I51" s="84"/>
      <c r="J51" s="84"/>
      <c r="K51" s="74"/>
      <c r="L51" s="77"/>
      <c r="M51" s="77"/>
      <c r="N51" s="77"/>
      <c r="O51" s="77"/>
      <c r="P51" s="83"/>
      <c r="Q51" s="87"/>
      <c r="R51" s="60"/>
      <c r="S51" s="60"/>
      <c r="T51" s="60"/>
      <c r="U51" s="60"/>
      <c r="V51" s="60"/>
      <c r="W51" s="53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</row>
    <row r="52" spans="1:43" s="43" customFormat="1" ht="12" x14ac:dyDescent="0.2">
      <c r="A52" s="75"/>
      <c r="B52" s="83"/>
      <c r="C52" s="83"/>
      <c r="D52" s="83"/>
      <c r="E52" s="83"/>
      <c r="F52" s="83"/>
      <c r="G52" s="88"/>
      <c r="H52" s="89"/>
      <c r="I52" s="89"/>
      <c r="J52" s="89"/>
      <c r="K52" s="89"/>
      <c r="L52" s="86"/>
      <c r="M52" s="86"/>
      <c r="N52" s="86"/>
      <c r="O52" s="90"/>
      <c r="P52" s="91"/>
      <c r="Q52" s="86"/>
      <c r="R52" s="61"/>
      <c r="S52" s="62"/>
      <c r="T52" s="62"/>
      <c r="U52" s="62"/>
      <c r="V52" s="62"/>
      <c r="W52" s="53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</row>
    <row r="53" spans="1:43" s="43" customFormat="1" ht="15.75" x14ac:dyDescent="0.25">
      <c r="A53" s="75"/>
      <c r="B53" s="86"/>
      <c r="C53" s="86"/>
      <c r="D53" s="86"/>
      <c r="E53" s="86"/>
      <c r="F53" s="86"/>
      <c r="G53" s="92"/>
      <c r="H53" s="84"/>
      <c r="I53" s="84"/>
      <c r="J53" s="84"/>
      <c r="K53" s="84"/>
      <c r="L53" s="84"/>
      <c r="M53" s="86"/>
      <c r="N53" s="86"/>
      <c r="O53" s="93"/>
      <c r="P53" s="86"/>
      <c r="Q53" s="86"/>
      <c r="R53" s="61"/>
      <c r="S53" s="62"/>
      <c r="T53" s="62"/>
      <c r="U53" s="62"/>
      <c r="V53" s="62"/>
      <c r="W53" s="53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</row>
    <row r="54" spans="1:43" s="43" customFormat="1" ht="13.5" customHeight="1" x14ac:dyDescent="0.25">
      <c r="A54" s="75"/>
      <c r="B54" s="86"/>
      <c r="C54" s="86"/>
      <c r="D54" s="86"/>
      <c r="E54" s="86"/>
      <c r="F54" s="84"/>
      <c r="G54" s="84"/>
      <c r="H54" s="85"/>
      <c r="I54" s="85"/>
      <c r="J54" s="85"/>
      <c r="K54" s="85"/>
      <c r="L54" s="86"/>
      <c r="M54" s="86"/>
      <c r="N54" s="86"/>
      <c r="O54" s="93"/>
      <c r="P54" s="86"/>
      <c r="Q54" s="86"/>
      <c r="R54" s="61"/>
      <c r="S54" s="62"/>
      <c r="T54" s="62"/>
      <c r="U54" s="62"/>
      <c r="V54" s="62"/>
      <c r="W54" s="53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</row>
    <row r="55" spans="1:43" s="43" customFormat="1" ht="15" hidden="1" x14ac:dyDescent="0.25">
      <c r="A55" s="75"/>
      <c r="B55" s="78"/>
      <c r="C55" s="78"/>
      <c r="D55" s="78"/>
      <c r="E55" s="78"/>
      <c r="F55" s="79"/>
      <c r="G55" s="94">
        <f>+G58+G59+G60</f>
        <v>209019719.09</v>
      </c>
      <c r="H55" s="79"/>
      <c r="I55" s="95"/>
      <c r="J55" s="80"/>
      <c r="K55" s="80"/>
      <c r="L55" s="80"/>
      <c r="M55" s="82"/>
      <c r="N55" s="78"/>
      <c r="O55" s="96"/>
      <c r="P55" s="78"/>
      <c r="Q55" s="78"/>
      <c r="R55" s="63"/>
      <c r="S55" s="57"/>
      <c r="T55" s="57"/>
      <c r="U55" s="57"/>
      <c r="V55" s="57"/>
      <c r="W55" s="63"/>
      <c r="X55" s="64"/>
      <c r="Y55" s="64"/>
      <c r="Z55" s="64"/>
      <c r="AA55" s="64"/>
      <c r="AB55" s="64"/>
    </row>
    <row r="56" spans="1:43" s="43" customFormat="1" ht="16.5" customHeight="1" x14ac:dyDescent="0.25">
      <c r="A56" s="65"/>
      <c r="B56" s="84"/>
      <c r="C56" s="84"/>
      <c r="D56" s="84"/>
      <c r="E56" s="84"/>
      <c r="F56" s="84"/>
      <c r="G56" s="84"/>
      <c r="H56" s="84"/>
      <c r="I56" s="96"/>
      <c r="J56" s="96"/>
      <c r="K56" s="85"/>
      <c r="L56" s="97"/>
      <c r="M56" s="98"/>
      <c r="N56" s="98"/>
      <c r="O56" s="99"/>
      <c r="P56" s="99"/>
      <c r="Q56" s="99"/>
      <c r="R56" s="52"/>
      <c r="S56" s="52"/>
      <c r="T56" s="52"/>
      <c r="U56" s="52"/>
      <c r="V56" s="52"/>
      <c r="W56" s="52"/>
    </row>
    <row r="57" spans="1:43" s="43" customFormat="1" ht="6.75" customHeight="1" x14ac:dyDescent="0.25">
      <c r="A57" s="81"/>
      <c r="B57" s="84"/>
      <c r="C57" s="84"/>
      <c r="D57" s="100"/>
      <c r="E57" s="100"/>
      <c r="F57" s="84"/>
      <c r="G57" s="84"/>
      <c r="H57" s="84"/>
      <c r="I57" s="96"/>
      <c r="J57" s="96"/>
      <c r="K57" s="85"/>
      <c r="L57" s="98"/>
      <c r="M57" s="98"/>
      <c r="N57" s="98"/>
      <c r="O57" s="99"/>
      <c r="P57" s="99"/>
      <c r="Q57" s="99"/>
      <c r="R57" s="52"/>
      <c r="S57" s="52"/>
      <c r="T57" s="52"/>
      <c r="U57" s="52"/>
      <c r="V57" s="52"/>
      <c r="W57" s="52"/>
    </row>
    <row r="58" spans="1:43" s="43" customFormat="1" ht="15" hidden="1" x14ac:dyDescent="0.25">
      <c r="A58" s="81"/>
      <c r="B58" s="84"/>
      <c r="C58" s="84"/>
      <c r="D58" s="100"/>
      <c r="E58" s="100"/>
      <c r="F58" s="92">
        <v>512.03</v>
      </c>
      <c r="G58" s="84">
        <v>149509869.96000001</v>
      </c>
      <c r="H58" s="84"/>
      <c r="I58" s="96"/>
      <c r="J58" s="96"/>
      <c r="K58" s="85"/>
      <c r="L58" s="98"/>
      <c r="M58" s="98"/>
      <c r="N58" s="98"/>
      <c r="O58" s="99"/>
      <c r="P58" s="99"/>
      <c r="Q58" s="99"/>
      <c r="R58" s="52"/>
      <c r="S58" s="52"/>
      <c r="T58" s="52"/>
      <c r="U58" s="52"/>
      <c r="V58" s="52"/>
      <c r="W58" s="52"/>
    </row>
    <row r="59" spans="1:43" s="43" customFormat="1" ht="14.25" hidden="1" customHeight="1" x14ac:dyDescent="0.25">
      <c r="A59" s="65"/>
      <c r="B59" s="74"/>
      <c r="C59" s="74"/>
      <c r="D59" s="74"/>
      <c r="E59" s="74"/>
      <c r="F59" s="92">
        <v>511.03</v>
      </c>
      <c r="G59" s="92">
        <v>15261.7</v>
      </c>
      <c r="H59" s="74"/>
      <c r="I59" s="96"/>
      <c r="J59" s="96"/>
      <c r="K59" s="85"/>
      <c r="L59" s="98"/>
      <c r="M59" s="98"/>
      <c r="N59" s="98"/>
      <c r="O59" s="99"/>
      <c r="P59" s="99"/>
      <c r="Q59" s="99"/>
      <c r="R59" s="52"/>
      <c r="S59" s="52"/>
      <c r="T59" s="52"/>
      <c r="U59" s="52"/>
      <c r="V59" s="52"/>
      <c r="W59" s="52"/>
    </row>
    <row r="60" spans="1:43" s="43" customFormat="1" ht="14.25" hidden="1" customHeight="1" x14ac:dyDescent="0.2">
      <c r="A60" s="65"/>
      <c r="B60" s="74"/>
      <c r="C60" s="74"/>
      <c r="D60" s="74"/>
      <c r="E60" s="74"/>
      <c r="F60" s="92">
        <v>511.02</v>
      </c>
      <c r="G60" s="92">
        <v>59494587.43</v>
      </c>
      <c r="H60" s="74"/>
      <c r="I60" s="85"/>
      <c r="J60" s="101"/>
      <c r="K60" s="85"/>
      <c r="L60" s="99"/>
      <c r="M60" s="99"/>
      <c r="N60" s="99"/>
      <c r="O60" s="99"/>
      <c r="P60" s="99"/>
      <c r="Q60" s="99"/>
      <c r="R60" s="52"/>
      <c r="S60" s="52"/>
      <c r="T60" s="52"/>
      <c r="U60" s="52"/>
      <c r="V60" s="52"/>
      <c r="W60" s="52"/>
    </row>
    <row r="61" spans="1:43" s="43" customFormat="1" ht="15.75" hidden="1" customHeight="1" x14ac:dyDescent="0.25">
      <c r="A61" s="65"/>
      <c r="B61" s="74"/>
      <c r="C61" s="74"/>
      <c r="D61" s="74"/>
      <c r="E61" s="74"/>
      <c r="F61" s="74"/>
      <c r="G61" s="74"/>
      <c r="H61" s="74"/>
      <c r="I61" s="102"/>
      <c r="J61" s="102"/>
      <c r="K61" s="102"/>
      <c r="L61" s="99"/>
      <c r="M61" s="99"/>
      <c r="N61" s="99"/>
      <c r="O61" s="99"/>
      <c r="P61" s="99"/>
      <c r="Q61" s="99"/>
      <c r="R61" s="52"/>
      <c r="S61" s="52"/>
      <c r="T61" s="52"/>
      <c r="U61" s="52"/>
      <c r="V61" s="52"/>
      <c r="W61" s="52"/>
    </row>
    <row r="62" spans="1:43" s="43" customFormat="1" ht="15.75" hidden="1" x14ac:dyDescent="0.25">
      <c r="A62" s="65"/>
      <c r="B62" s="74"/>
      <c r="C62" s="74"/>
      <c r="D62" s="74"/>
      <c r="E62" s="74"/>
      <c r="F62" s="103">
        <v>513</v>
      </c>
      <c r="G62" s="84">
        <v>148153608.09999999</v>
      </c>
      <c r="H62" s="74"/>
      <c r="I62" s="102"/>
      <c r="J62" s="102"/>
      <c r="K62" s="102"/>
      <c r="L62" s="99"/>
      <c r="M62" s="99"/>
      <c r="N62" s="99"/>
      <c r="O62" s="99"/>
      <c r="P62" s="99"/>
      <c r="Q62" s="99"/>
      <c r="R62" s="52"/>
      <c r="S62" s="52"/>
      <c r="T62" s="52"/>
      <c r="U62" s="52"/>
      <c r="V62" s="52"/>
      <c r="W62" s="52"/>
    </row>
    <row r="63" spans="1:43" s="43" customFormat="1" ht="12.75" hidden="1" customHeight="1" x14ac:dyDescent="0.25">
      <c r="A63" s="65"/>
      <c r="B63" s="99"/>
      <c r="C63" s="99"/>
      <c r="D63" s="99"/>
      <c r="E63" s="99"/>
      <c r="F63" s="103">
        <v>517</v>
      </c>
      <c r="G63" s="84">
        <v>2098004.37</v>
      </c>
      <c r="H63" s="99"/>
      <c r="I63" s="102"/>
      <c r="J63" s="102"/>
      <c r="K63" s="102"/>
      <c r="L63" s="99"/>
      <c r="M63" s="99"/>
      <c r="N63" s="99"/>
      <c r="O63" s="99"/>
      <c r="P63" s="99"/>
      <c r="Q63" s="99"/>
      <c r="R63" s="52"/>
      <c r="S63" s="52"/>
      <c r="T63" s="52"/>
      <c r="U63" s="52"/>
      <c r="V63" s="52"/>
      <c r="W63" s="52"/>
    </row>
    <row r="64" spans="1:43" s="43" customFormat="1" ht="12.75" hidden="1" customHeight="1" x14ac:dyDescent="0.25">
      <c r="A64" s="65"/>
      <c r="B64" s="99"/>
      <c r="C64" s="99"/>
      <c r="D64" s="99"/>
      <c r="E64" s="99"/>
      <c r="F64" s="104"/>
      <c r="G64" s="105"/>
      <c r="H64" s="99"/>
      <c r="I64" s="102"/>
      <c r="J64" s="102"/>
      <c r="K64" s="102"/>
      <c r="L64" s="99"/>
      <c r="M64" s="99"/>
      <c r="N64" s="99"/>
      <c r="O64" s="99"/>
      <c r="P64" s="99"/>
      <c r="Q64" s="99"/>
      <c r="R64" s="52"/>
      <c r="S64" s="52"/>
      <c r="T64" s="52"/>
      <c r="U64" s="52"/>
      <c r="V64" s="52"/>
      <c r="W64" s="52"/>
    </row>
    <row r="65" spans="1:23" s="43" customFormat="1" ht="12.75" customHeight="1" x14ac:dyDescent="0.25">
      <c r="A65" s="65"/>
      <c r="B65" s="99"/>
      <c r="C65" s="99"/>
      <c r="D65" s="99"/>
      <c r="E65" s="99"/>
      <c r="F65" s="106"/>
      <c r="G65" s="105"/>
      <c r="H65" s="99"/>
      <c r="I65" s="102"/>
      <c r="J65" s="102"/>
      <c r="K65" s="102"/>
      <c r="L65" s="99"/>
      <c r="M65" s="99"/>
      <c r="N65" s="99"/>
      <c r="O65" s="99"/>
      <c r="P65" s="99"/>
      <c r="Q65" s="99"/>
      <c r="R65" s="52"/>
      <c r="S65" s="52"/>
      <c r="T65" s="52"/>
      <c r="U65" s="52"/>
      <c r="V65" s="52"/>
      <c r="W65" s="52"/>
    </row>
    <row r="66" spans="1:23" s="43" customFormat="1" ht="13.5" customHeight="1" x14ac:dyDescent="0.25">
      <c r="A66" s="65"/>
      <c r="B66" s="99"/>
      <c r="C66" s="99"/>
      <c r="D66" s="99"/>
      <c r="E66" s="99"/>
      <c r="F66" s="104"/>
      <c r="G66" s="105"/>
      <c r="H66" s="99"/>
      <c r="I66" s="107"/>
      <c r="J66" s="107"/>
      <c r="K66" s="108"/>
      <c r="L66" s="99"/>
      <c r="M66" s="99"/>
      <c r="N66" s="109"/>
      <c r="O66" s="99"/>
      <c r="P66" s="99"/>
      <c r="Q66" s="99"/>
      <c r="R66" s="52"/>
      <c r="S66" s="52"/>
      <c r="T66" s="52"/>
      <c r="U66" s="52"/>
      <c r="V66" s="52"/>
      <c r="W66" s="52"/>
    </row>
    <row r="67" spans="1:23" s="43" customFormat="1" ht="15" customHeight="1" x14ac:dyDescent="0.25">
      <c r="A67" s="65"/>
      <c r="B67" s="74"/>
      <c r="C67" s="74"/>
      <c r="D67" s="74"/>
      <c r="E67" s="74"/>
      <c r="F67" s="74"/>
      <c r="G67" s="105"/>
      <c r="H67" s="74"/>
      <c r="I67" s="108"/>
      <c r="J67" s="108"/>
      <c r="K67" s="108"/>
      <c r="L67" s="99"/>
      <c r="M67" s="99"/>
      <c r="N67" s="99"/>
      <c r="O67" s="99"/>
      <c r="P67" s="99"/>
      <c r="Q67" s="99"/>
      <c r="R67" s="52"/>
      <c r="S67" s="52"/>
      <c r="T67" s="52"/>
      <c r="U67" s="52"/>
      <c r="V67" s="52"/>
      <c r="W67" s="52"/>
    </row>
    <row r="68" spans="1:23" s="43" customFormat="1" ht="12" customHeight="1" x14ac:dyDescent="0.25">
      <c r="A68" s="65"/>
      <c r="B68" s="74"/>
      <c r="C68" s="74"/>
      <c r="D68" s="74"/>
      <c r="E68" s="74"/>
      <c r="F68" s="74"/>
      <c r="G68" s="74"/>
      <c r="H68" s="74"/>
      <c r="I68" s="108"/>
      <c r="J68" s="108"/>
      <c r="K68" s="108"/>
      <c r="L68" s="99"/>
      <c r="M68" s="99"/>
      <c r="N68" s="99"/>
      <c r="O68" s="99"/>
      <c r="P68" s="99"/>
      <c r="Q68" s="99"/>
      <c r="R68" s="52"/>
      <c r="S68" s="52"/>
      <c r="T68" s="52"/>
      <c r="U68" s="52"/>
      <c r="V68" s="52"/>
      <c r="W68" s="52"/>
    </row>
    <row r="69" spans="1:23" s="43" customFormat="1" ht="11.25" customHeight="1" x14ac:dyDescent="0.15">
      <c r="A69" s="65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52"/>
      <c r="S69" s="52"/>
      <c r="T69" s="52"/>
      <c r="U69" s="52"/>
      <c r="V69" s="52"/>
      <c r="W69" s="52"/>
    </row>
    <row r="70" spans="1:23" s="43" customFormat="1" ht="12.75" customHeight="1" x14ac:dyDescent="0.15">
      <c r="A70" s="65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52"/>
      <c r="S70" s="52"/>
      <c r="T70" s="52"/>
      <c r="U70" s="52"/>
      <c r="V70" s="52"/>
      <c r="W70" s="52"/>
    </row>
    <row r="71" spans="1:23" s="43" customFormat="1" ht="15" customHeight="1" x14ac:dyDescent="0.15">
      <c r="A71" s="65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52"/>
      <c r="S71" s="52"/>
      <c r="T71" s="52"/>
      <c r="U71" s="52"/>
      <c r="V71" s="52"/>
      <c r="W71" s="52"/>
    </row>
    <row r="72" spans="1:23" s="43" customFormat="1" ht="10.5" customHeight="1" x14ac:dyDescent="0.15">
      <c r="A72" s="65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52"/>
      <c r="S72" s="52"/>
      <c r="T72" s="52"/>
      <c r="U72" s="52"/>
      <c r="V72" s="52"/>
      <c r="W72" s="52"/>
    </row>
    <row r="73" spans="1:23" s="43" customFormat="1" ht="15" customHeight="1" x14ac:dyDescent="0.15">
      <c r="A73" s="65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52"/>
      <c r="S73" s="52"/>
      <c r="T73" s="52"/>
      <c r="U73" s="52"/>
      <c r="V73" s="52"/>
      <c r="W73" s="52"/>
    </row>
    <row r="74" spans="1:23" s="43" customFormat="1" x14ac:dyDescent="0.15">
      <c r="A74" s="65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52"/>
      <c r="S74" s="52"/>
      <c r="T74" s="52"/>
      <c r="U74" s="52"/>
      <c r="V74" s="52"/>
      <c r="W74" s="52"/>
    </row>
    <row r="75" spans="1:23" s="43" customFormat="1" x14ac:dyDescent="0.15">
      <c r="A75" s="65"/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52"/>
      <c r="S75" s="52"/>
      <c r="T75" s="52"/>
      <c r="U75" s="52"/>
      <c r="V75" s="52"/>
      <c r="W75" s="52"/>
    </row>
    <row r="76" spans="1:23" s="43" customFormat="1" ht="18" x14ac:dyDescent="0.15">
      <c r="A76" s="76">
        <v>27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52"/>
      <c r="S76" s="52"/>
      <c r="T76" s="52"/>
      <c r="U76" s="52"/>
      <c r="V76" s="52"/>
      <c r="W76" s="52"/>
    </row>
    <row r="77" spans="1:23" s="43" customFormat="1" x14ac:dyDescent="0.15">
      <c r="A77" s="52"/>
      <c r="B77" s="63"/>
      <c r="C77" s="110"/>
      <c r="D77" s="110"/>
      <c r="E77" s="110"/>
      <c r="F77" s="63"/>
      <c r="G77" s="63"/>
      <c r="H77" s="110"/>
      <c r="I77" s="110"/>
      <c r="J77" s="110"/>
      <c r="K77" s="110"/>
      <c r="L77" s="63"/>
      <c r="M77" s="63"/>
      <c r="N77" s="63"/>
      <c r="O77" s="99"/>
      <c r="P77" s="110"/>
      <c r="Q77" s="63"/>
      <c r="R77" s="52"/>
      <c r="S77" s="52"/>
      <c r="T77" s="52"/>
      <c r="U77" s="52"/>
      <c r="V77" s="52"/>
      <c r="W77" s="52"/>
    </row>
    <row r="78" spans="1:23" s="43" customFormat="1" x14ac:dyDescent="0.15">
      <c r="A78" s="52"/>
      <c r="B78" s="63"/>
      <c r="C78" s="110"/>
      <c r="D78" s="110"/>
      <c r="E78" s="110"/>
      <c r="F78" s="63"/>
      <c r="G78" s="63"/>
      <c r="H78" s="110"/>
      <c r="I78" s="110"/>
      <c r="J78" s="110"/>
      <c r="K78" s="110"/>
      <c r="L78" s="63"/>
      <c r="M78" s="63"/>
      <c r="N78" s="63"/>
      <c r="O78" s="99"/>
      <c r="P78" s="110"/>
      <c r="Q78" s="63"/>
      <c r="R78" s="52"/>
      <c r="S78" s="52"/>
      <c r="T78" s="52"/>
      <c r="U78" s="52"/>
      <c r="V78" s="52"/>
      <c r="W78" s="52"/>
    </row>
    <row r="79" spans="1:23" s="43" customFormat="1" x14ac:dyDescent="0.15">
      <c r="A79" s="52"/>
      <c r="B79" s="63"/>
      <c r="C79" s="110"/>
      <c r="D79" s="110"/>
      <c r="E79" s="110"/>
      <c r="F79" s="63"/>
      <c r="G79" s="63"/>
      <c r="H79" s="110"/>
      <c r="I79" s="110"/>
      <c r="J79" s="110"/>
      <c r="K79" s="110"/>
      <c r="L79" s="63"/>
      <c r="M79" s="63"/>
      <c r="N79" s="63"/>
      <c r="O79" s="99"/>
      <c r="P79" s="110"/>
      <c r="Q79" s="63"/>
      <c r="R79" s="52"/>
      <c r="S79" s="52"/>
      <c r="T79" s="52"/>
      <c r="U79" s="52"/>
      <c r="V79" s="52"/>
      <c r="W79" s="52"/>
    </row>
    <row r="80" spans="1:23" s="43" customFormat="1" x14ac:dyDescent="0.15">
      <c r="A80" s="52"/>
      <c r="B80" s="63"/>
      <c r="C80" s="110"/>
      <c r="D80" s="110"/>
      <c r="E80" s="110"/>
      <c r="F80" s="63"/>
      <c r="G80" s="63"/>
      <c r="H80" s="110"/>
      <c r="I80" s="110"/>
      <c r="J80" s="110"/>
      <c r="K80" s="110"/>
      <c r="L80" s="63"/>
      <c r="M80" s="63"/>
      <c r="N80" s="63"/>
      <c r="O80" s="99"/>
      <c r="P80" s="110"/>
      <c r="Q80" s="63"/>
      <c r="R80" s="52"/>
      <c r="S80" s="52"/>
      <c r="T80" s="52"/>
      <c r="U80" s="52"/>
      <c r="V80" s="52"/>
      <c r="W80" s="52"/>
    </row>
    <row r="81" spans="2:17" s="43" customFormat="1" x14ac:dyDescent="0.15">
      <c r="B81" s="64"/>
      <c r="C81" s="111"/>
      <c r="D81" s="111"/>
      <c r="E81" s="111"/>
      <c r="F81" s="64"/>
      <c r="G81" s="64"/>
      <c r="H81" s="111"/>
      <c r="I81" s="111"/>
      <c r="J81" s="111"/>
      <c r="K81" s="111"/>
      <c r="L81" s="64"/>
      <c r="M81" s="64"/>
      <c r="N81" s="64"/>
      <c r="O81" s="85"/>
      <c r="P81" s="112"/>
      <c r="Q81" s="64"/>
    </row>
    <row r="82" spans="2:17" s="43" customFormat="1" x14ac:dyDescent="0.15">
      <c r="B82" s="64"/>
      <c r="C82" s="111"/>
      <c r="D82" s="111"/>
      <c r="E82" s="111"/>
      <c r="F82" s="64"/>
      <c r="G82" s="64"/>
      <c r="H82" s="111"/>
      <c r="I82" s="111"/>
      <c r="J82" s="111"/>
      <c r="K82" s="111"/>
      <c r="L82" s="64"/>
      <c r="M82" s="64"/>
      <c r="N82" s="64"/>
      <c r="O82" s="85"/>
      <c r="P82" s="112"/>
      <c r="Q82" s="64"/>
    </row>
    <row r="83" spans="2:17" s="43" customFormat="1" x14ac:dyDescent="0.15">
      <c r="B83" s="64"/>
      <c r="C83" s="111"/>
      <c r="D83" s="111"/>
      <c r="E83" s="111"/>
      <c r="F83" s="64"/>
      <c r="G83" s="64"/>
      <c r="H83" s="111"/>
      <c r="I83" s="111"/>
      <c r="J83" s="111"/>
      <c r="K83" s="111"/>
      <c r="L83" s="64"/>
      <c r="M83" s="64"/>
      <c r="N83" s="64"/>
      <c r="O83" s="85"/>
      <c r="P83" s="112"/>
      <c r="Q83" s="64"/>
    </row>
    <row r="84" spans="2:17" s="43" customFormat="1" x14ac:dyDescent="0.15">
      <c r="B84" s="64"/>
      <c r="C84" s="111"/>
      <c r="D84" s="111"/>
      <c r="E84" s="111"/>
      <c r="F84" s="64"/>
      <c r="G84" s="64"/>
      <c r="H84" s="111"/>
      <c r="I84" s="111"/>
      <c r="J84" s="111"/>
      <c r="K84" s="111"/>
      <c r="L84" s="64"/>
      <c r="M84" s="64"/>
      <c r="N84" s="64"/>
      <c r="O84" s="85"/>
      <c r="P84" s="112"/>
      <c r="Q84" s="64"/>
    </row>
    <row r="85" spans="2:17" s="43" customFormat="1" x14ac:dyDescent="0.15">
      <c r="B85" s="64"/>
      <c r="C85" s="111"/>
      <c r="D85" s="111"/>
      <c r="E85" s="111"/>
      <c r="F85" s="64"/>
      <c r="G85" s="64"/>
      <c r="H85" s="111"/>
      <c r="I85" s="111"/>
      <c r="J85" s="111" t="s">
        <v>18</v>
      </c>
      <c r="K85" s="111"/>
      <c r="L85" s="64"/>
      <c r="M85" s="64"/>
      <c r="N85" s="64"/>
      <c r="O85" s="85"/>
      <c r="P85" s="112"/>
      <c r="Q85" s="64"/>
    </row>
    <row r="86" spans="2:17" s="43" customFormat="1" x14ac:dyDescent="0.15">
      <c r="B86" s="64"/>
      <c r="C86" s="111"/>
      <c r="D86" s="111"/>
      <c r="E86" s="111"/>
      <c r="F86" s="64"/>
      <c r="G86" s="64"/>
      <c r="H86" s="111"/>
      <c r="I86" s="111"/>
      <c r="J86" s="111"/>
      <c r="K86" s="111"/>
      <c r="L86" s="64"/>
      <c r="M86" s="64"/>
      <c r="N86" s="64"/>
      <c r="O86" s="85"/>
      <c r="P86" s="112"/>
      <c r="Q86" s="64"/>
    </row>
    <row r="87" spans="2:17" s="43" customFormat="1" x14ac:dyDescent="0.15">
      <c r="B87" s="64"/>
      <c r="C87" s="111"/>
      <c r="D87" s="111"/>
      <c r="E87" s="111"/>
      <c r="F87" s="64"/>
      <c r="G87" s="64"/>
      <c r="H87" s="111"/>
      <c r="I87" s="111"/>
      <c r="J87" s="111"/>
      <c r="K87" s="111"/>
      <c r="L87" s="64"/>
      <c r="M87" s="64"/>
      <c r="N87" s="64"/>
      <c r="O87" s="85"/>
      <c r="P87" s="112"/>
      <c r="Q87" s="64"/>
    </row>
    <row r="88" spans="2:17" x14ac:dyDescent="0.15">
      <c r="P88" s="115"/>
    </row>
    <row r="89" spans="2:17" x14ac:dyDescent="0.15">
      <c r="P89" s="115"/>
    </row>
    <row r="90" spans="2:17" x14ac:dyDescent="0.15">
      <c r="P90" s="115"/>
    </row>
    <row r="91" spans="2:17" x14ac:dyDescent="0.15">
      <c r="P91" s="115"/>
    </row>
    <row r="92" spans="2:17" x14ac:dyDescent="0.15">
      <c r="P92" s="115"/>
    </row>
    <row r="93" spans="2:17" x14ac:dyDescent="0.15">
      <c r="P93" s="115"/>
    </row>
    <row r="94" spans="2:17" x14ac:dyDescent="0.15">
      <c r="P94" s="115"/>
    </row>
    <row r="95" spans="2:17" x14ac:dyDescent="0.15">
      <c r="P95" s="115"/>
    </row>
    <row r="96" spans="2:17" x14ac:dyDescent="0.15">
      <c r="P96" s="115"/>
    </row>
    <row r="97" spans="16:16" x14ac:dyDescent="0.15">
      <c r="P97" s="115"/>
    </row>
    <row r="98" spans="16:16" x14ac:dyDescent="0.15">
      <c r="P98" s="115"/>
    </row>
    <row r="99" spans="16:16" x14ac:dyDescent="0.15">
      <c r="P99" s="115"/>
    </row>
    <row r="100" spans="16:16" x14ac:dyDescent="0.15">
      <c r="P100" s="115"/>
    </row>
    <row r="101" spans="16:16" x14ac:dyDescent="0.15">
      <c r="P101" s="115"/>
    </row>
    <row r="102" spans="16:16" x14ac:dyDescent="0.15">
      <c r="P102" s="115"/>
    </row>
    <row r="103" spans="16:16" x14ac:dyDescent="0.15">
      <c r="P103" s="115"/>
    </row>
    <row r="104" spans="16:16" x14ac:dyDescent="0.15">
      <c r="P104" s="115"/>
    </row>
    <row r="105" spans="16:16" x14ac:dyDescent="0.15">
      <c r="P105" s="115"/>
    </row>
    <row r="106" spans="16:16" x14ac:dyDescent="0.15">
      <c r="P106" s="115"/>
    </row>
    <row r="107" spans="16:16" x14ac:dyDescent="0.15">
      <c r="P107" s="115"/>
    </row>
    <row r="108" spans="16:16" x14ac:dyDescent="0.15">
      <c r="P108" s="115"/>
    </row>
    <row r="109" spans="16:16" x14ac:dyDescent="0.15">
      <c r="P109" s="115"/>
    </row>
    <row r="110" spans="16:16" x14ac:dyDescent="0.15">
      <c r="P110" s="115"/>
    </row>
    <row r="111" spans="16:16" x14ac:dyDescent="0.15">
      <c r="P111" s="115"/>
    </row>
    <row r="112" spans="16:16" x14ac:dyDescent="0.15">
      <c r="P112" s="115"/>
    </row>
    <row r="113" spans="16:16" x14ac:dyDescent="0.15">
      <c r="P113" s="115"/>
    </row>
    <row r="114" spans="16:16" x14ac:dyDescent="0.15">
      <c r="P114" s="115"/>
    </row>
    <row r="115" spans="16:16" x14ac:dyDescent="0.15">
      <c r="P115" s="115"/>
    </row>
    <row r="116" spans="16:16" x14ac:dyDescent="0.15">
      <c r="P116" s="115"/>
    </row>
    <row r="117" spans="16:16" x14ac:dyDescent="0.15">
      <c r="P117" s="115"/>
    </row>
    <row r="118" spans="16:16" x14ac:dyDescent="0.15">
      <c r="P118" s="115"/>
    </row>
    <row r="119" spans="16:16" x14ac:dyDescent="0.15">
      <c r="P119" s="115"/>
    </row>
    <row r="120" spans="16:16" x14ac:dyDescent="0.15">
      <c r="P120" s="115"/>
    </row>
    <row r="121" spans="16:16" x14ac:dyDescent="0.15">
      <c r="P121" s="115"/>
    </row>
    <row r="122" spans="16:16" x14ac:dyDescent="0.15">
      <c r="P122" s="115"/>
    </row>
    <row r="123" spans="16:16" x14ac:dyDescent="0.15">
      <c r="P123" s="115"/>
    </row>
    <row r="124" spans="16:16" x14ac:dyDescent="0.15">
      <c r="P124" s="115"/>
    </row>
    <row r="125" spans="16:16" x14ac:dyDescent="0.15">
      <c r="P125" s="115"/>
    </row>
    <row r="126" spans="16:16" x14ac:dyDescent="0.15">
      <c r="P126" s="115"/>
    </row>
    <row r="127" spans="16:16" x14ac:dyDescent="0.15">
      <c r="P127" s="115"/>
    </row>
    <row r="128" spans="16:16" x14ac:dyDescent="0.15">
      <c r="P128" s="115"/>
    </row>
    <row r="129" spans="16:16" x14ac:dyDescent="0.15">
      <c r="P129" s="115"/>
    </row>
    <row r="130" spans="16:16" x14ac:dyDescent="0.15">
      <c r="P130" s="115"/>
    </row>
    <row r="131" spans="16:16" x14ac:dyDescent="0.15">
      <c r="P131" s="115"/>
    </row>
    <row r="132" spans="16:16" x14ac:dyDescent="0.15">
      <c r="P132" s="115"/>
    </row>
    <row r="133" spans="16:16" x14ac:dyDescent="0.15">
      <c r="P133" s="115"/>
    </row>
    <row r="134" spans="16:16" x14ac:dyDescent="0.15">
      <c r="P134" s="115"/>
    </row>
    <row r="135" spans="16:16" x14ac:dyDescent="0.15">
      <c r="P135" s="115"/>
    </row>
    <row r="136" spans="16:16" x14ac:dyDescent="0.15">
      <c r="P136" s="115"/>
    </row>
    <row r="137" spans="16:16" x14ac:dyDescent="0.15">
      <c r="P137" s="115"/>
    </row>
    <row r="138" spans="16:16" x14ac:dyDescent="0.15">
      <c r="P138" s="115"/>
    </row>
    <row r="139" spans="16:16" x14ac:dyDescent="0.15">
      <c r="P139" s="115"/>
    </row>
    <row r="140" spans="16:16" x14ac:dyDescent="0.15">
      <c r="P140" s="115"/>
    </row>
    <row r="141" spans="16:16" x14ac:dyDescent="0.15">
      <c r="P141" s="115"/>
    </row>
    <row r="142" spans="16:16" x14ac:dyDescent="0.15">
      <c r="P142" s="115"/>
    </row>
    <row r="143" spans="16:16" x14ac:dyDescent="0.15">
      <c r="P143" s="115"/>
    </row>
    <row r="144" spans="16:16" x14ac:dyDescent="0.15">
      <c r="P144" s="115"/>
    </row>
    <row r="145" spans="16:16" x14ac:dyDescent="0.15">
      <c r="P145" s="115"/>
    </row>
    <row r="146" spans="16:16" x14ac:dyDescent="0.15">
      <c r="P146" s="115"/>
    </row>
    <row r="147" spans="16:16" x14ac:dyDescent="0.15">
      <c r="P147" s="115"/>
    </row>
    <row r="148" spans="16:16" x14ac:dyDescent="0.15">
      <c r="P148" s="115"/>
    </row>
    <row r="149" spans="16:16" x14ac:dyDescent="0.15">
      <c r="P149" s="115"/>
    </row>
    <row r="150" spans="16:16" x14ac:dyDescent="0.15">
      <c r="P150" s="115"/>
    </row>
    <row r="151" spans="16:16" x14ac:dyDescent="0.15">
      <c r="P151" s="115"/>
    </row>
    <row r="152" spans="16:16" x14ac:dyDescent="0.15">
      <c r="P152" s="115"/>
    </row>
    <row r="153" spans="16:16" x14ac:dyDescent="0.15">
      <c r="P153" s="115"/>
    </row>
    <row r="154" spans="16:16" x14ac:dyDescent="0.15">
      <c r="P154" s="115"/>
    </row>
    <row r="155" spans="16:16" x14ac:dyDescent="0.15">
      <c r="P155" s="115"/>
    </row>
    <row r="156" spans="16:16" x14ac:dyDescent="0.15">
      <c r="P156" s="115"/>
    </row>
    <row r="157" spans="16:16" x14ac:dyDescent="0.15">
      <c r="P157" s="115"/>
    </row>
    <row r="158" spans="16:16" x14ac:dyDescent="0.15">
      <c r="P158" s="115"/>
    </row>
    <row r="159" spans="16:16" x14ac:dyDescent="0.15">
      <c r="P159" s="115"/>
    </row>
    <row r="160" spans="16:16" x14ac:dyDescent="0.15">
      <c r="P160" s="115"/>
    </row>
    <row r="161" spans="16:16" x14ac:dyDescent="0.15">
      <c r="P161" s="115"/>
    </row>
    <row r="162" spans="16:16" x14ac:dyDescent="0.15">
      <c r="P162" s="115"/>
    </row>
    <row r="163" spans="16:16" x14ac:dyDescent="0.15">
      <c r="P163" s="115"/>
    </row>
    <row r="164" spans="16:16" x14ac:dyDescent="0.15">
      <c r="P164" s="115"/>
    </row>
    <row r="165" spans="16:16" x14ac:dyDescent="0.15">
      <c r="P165" s="115"/>
    </row>
    <row r="166" spans="16:16" x14ac:dyDescent="0.15">
      <c r="P166" s="115"/>
    </row>
    <row r="167" spans="16:16" x14ac:dyDescent="0.15">
      <c r="P167" s="115"/>
    </row>
    <row r="168" spans="16:16" x14ac:dyDescent="0.15">
      <c r="P168" s="115"/>
    </row>
    <row r="169" spans="16:16" x14ac:dyDescent="0.15">
      <c r="P169" s="115"/>
    </row>
    <row r="170" spans="16:16" x14ac:dyDescent="0.15">
      <c r="P170" s="115"/>
    </row>
    <row r="171" spans="16:16" x14ac:dyDescent="0.15">
      <c r="P171" s="115"/>
    </row>
    <row r="172" spans="16:16" x14ac:dyDescent="0.15">
      <c r="P172" s="115"/>
    </row>
    <row r="173" spans="16:16" x14ac:dyDescent="0.15">
      <c r="P173" s="115"/>
    </row>
    <row r="174" spans="16:16" x14ac:dyDescent="0.15">
      <c r="P174" s="115"/>
    </row>
    <row r="175" spans="16:16" x14ac:dyDescent="0.15">
      <c r="P175" s="115"/>
    </row>
    <row r="176" spans="16:16" x14ac:dyDescent="0.15">
      <c r="P176" s="115"/>
    </row>
    <row r="177" spans="16:16" x14ac:dyDescent="0.15">
      <c r="P177" s="115"/>
    </row>
    <row r="178" spans="16:16" x14ac:dyDescent="0.15">
      <c r="P178" s="115"/>
    </row>
    <row r="179" spans="16:16" x14ac:dyDescent="0.15">
      <c r="P179" s="115"/>
    </row>
    <row r="180" spans="16:16" x14ac:dyDescent="0.15">
      <c r="P180" s="115"/>
    </row>
    <row r="181" spans="16:16" x14ac:dyDescent="0.15">
      <c r="P181" s="115"/>
    </row>
    <row r="182" spans="16:16" x14ac:dyDescent="0.15">
      <c r="P182" s="115"/>
    </row>
    <row r="183" spans="16:16" x14ac:dyDescent="0.15">
      <c r="P183" s="115"/>
    </row>
    <row r="184" spans="16:16" x14ac:dyDescent="0.15">
      <c r="P184" s="115"/>
    </row>
    <row r="185" spans="16:16" x14ac:dyDescent="0.15">
      <c r="P185" s="115"/>
    </row>
    <row r="186" spans="16:16" x14ac:dyDescent="0.15">
      <c r="P186" s="115"/>
    </row>
    <row r="187" spans="16:16" x14ac:dyDescent="0.15">
      <c r="P187" s="115"/>
    </row>
    <row r="188" spans="16:16" x14ac:dyDescent="0.15">
      <c r="P188" s="115"/>
    </row>
    <row r="189" spans="16:16" x14ac:dyDescent="0.15">
      <c r="P189" s="115"/>
    </row>
    <row r="190" spans="16:16" x14ac:dyDescent="0.15">
      <c r="P190" s="115"/>
    </row>
    <row r="191" spans="16:16" x14ac:dyDescent="0.15">
      <c r="P191" s="115"/>
    </row>
    <row r="192" spans="16:16" x14ac:dyDescent="0.15">
      <c r="P192" s="115"/>
    </row>
    <row r="193" spans="16:16" x14ac:dyDescent="0.15">
      <c r="P193" s="115"/>
    </row>
    <row r="194" spans="16:16" x14ac:dyDescent="0.15">
      <c r="P194" s="115"/>
    </row>
    <row r="195" spans="16:16" x14ac:dyDescent="0.15">
      <c r="P195" s="115"/>
    </row>
    <row r="196" spans="16:16" x14ac:dyDescent="0.15">
      <c r="P196" s="115"/>
    </row>
    <row r="197" spans="16:16" x14ac:dyDescent="0.15">
      <c r="P197" s="115"/>
    </row>
    <row r="198" spans="16:16" x14ac:dyDescent="0.15">
      <c r="P198" s="115"/>
    </row>
    <row r="199" spans="16:16" x14ac:dyDescent="0.15">
      <c r="P199" s="115"/>
    </row>
    <row r="200" spans="16:16" x14ac:dyDescent="0.15">
      <c r="P200" s="115"/>
    </row>
    <row r="201" spans="16:16" x14ac:dyDescent="0.15">
      <c r="P201" s="115"/>
    </row>
    <row r="202" spans="16:16" x14ac:dyDescent="0.15">
      <c r="P202" s="115"/>
    </row>
    <row r="203" spans="16:16" x14ac:dyDescent="0.15">
      <c r="P203" s="115"/>
    </row>
    <row r="204" spans="16:16" x14ac:dyDescent="0.15">
      <c r="P204" s="115"/>
    </row>
    <row r="205" spans="16:16" x14ac:dyDescent="0.15">
      <c r="P205" s="115"/>
    </row>
    <row r="206" spans="16:16" x14ac:dyDescent="0.15">
      <c r="P206" s="115"/>
    </row>
    <row r="207" spans="16:16" x14ac:dyDescent="0.15">
      <c r="P207" s="115"/>
    </row>
    <row r="208" spans="16:16" x14ac:dyDescent="0.15">
      <c r="P208" s="115"/>
    </row>
    <row r="209" spans="16:16" x14ac:dyDescent="0.15">
      <c r="P209" s="115"/>
    </row>
    <row r="210" spans="16:16" x14ac:dyDescent="0.15">
      <c r="P210" s="115"/>
    </row>
    <row r="211" spans="16:16" x14ac:dyDescent="0.15">
      <c r="P211" s="115"/>
    </row>
    <row r="212" spans="16:16" x14ac:dyDescent="0.15">
      <c r="P212" s="115"/>
    </row>
    <row r="213" spans="16:16" x14ac:dyDescent="0.15">
      <c r="P213" s="115"/>
    </row>
    <row r="214" spans="16:16" x14ac:dyDescent="0.15">
      <c r="P214" s="115"/>
    </row>
    <row r="215" spans="16:16" x14ac:dyDescent="0.15">
      <c r="P215" s="115"/>
    </row>
    <row r="216" spans="16:16" x14ac:dyDescent="0.15">
      <c r="P216" s="115"/>
    </row>
    <row r="217" spans="16:16" x14ac:dyDescent="0.15">
      <c r="P217" s="115"/>
    </row>
    <row r="218" spans="16:16" x14ac:dyDescent="0.15">
      <c r="P218" s="115"/>
    </row>
    <row r="219" spans="16:16" x14ac:dyDescent="0.15">
      <c r="P219" s="115"/>
    </row>
    <row r="220" spans="16:16" x14ac:dyDescent="0.15">
      <c r="P220" s="115"/>
    </row>
    <row r="221" spans="16:16" x14ac:dyDescent="0.15">
      <c r="P221" s="115"/>
    </row>
    <row r="222" spans="16:16" x14ac:dyDescent="0.15">
      <c r="P222" s="115"/>
    </row>
  </sheetData>
  <mergeCells count="4">
    <mergeCell ref="A1:Q1"/>
    <mergeCell ref="A2:Q2"/>
    <mergeCell ref="A4:Q4"/>
    <mergeCell ref="A3:Q3"/>
  </mergeCells>
  <pageMargins left="0.7" right="0.37" top="0.52" bottom="0.28999999999999998" header="0.3" footer="0.3"/>
  <pageSetup scale="45" orientation="landscape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6"/>
  <sheetViews>
    <sheetView workbookViewId="0">
      <selection activeCell="L14" sqref="L14"/>
    </sheetView>
  </sheetViews>
  <sheetFormatPr baseColWidth="10" defaultColWidth="11.42578125" defaultRowHeight="15.75" x14ac:dyDescent="0.25"/>
  <cols>
    <col min="1" max="1" width="15.140625" style="205" customWidth="1"/>
    <col min="2" max="2" width="35" style="205" bestFit="1" customWidth="1"/>
    <col min="3" max="3" width="9.85546875" style="158" customWidth="1"/>
    <col min="4" max="4" width="16.5703125" style="158" bestFit="1" customWidth="1"/>
    <col min="5" max="5" width="6" style="158" customWidth="1"/>
    <col min="6" max="6" width="9.85546875" style="158" customWidth="1"/>
    <col min="7" max="7" width="31.7109375" style="158" hidden="1" customWidth="1"/>
    <col min="8" max="8" width="9.85546875" style="158" hidden="1" customWidth="1"/>
    <col min="9" max="9" width="28.85546875" style="158" hidden="1" customWidth="1"/>
    <col min="10" max="10" width="9.85546875" style="158" hidden="1" customWidth="1"/>
    <col min="11" max="11" width="31" style="158" hidden="1" customWidth="1"/>
    <col min="12" max="12" width="9.85546875" style="158" customWidth="1"/>
    <col min="13" max="13" width="34.5703125" style="158" bestFit="1" customWidth="1"/>
    <col min="14" max="14" width="9.85546875" style="158" customWidth="1"/>
    <col min="15" max="15" width="24.140625" style="158" bestFit="1" customWidth="1"/>
    <col min="16" max="16" width="24.140625" style="158" customWidth="1"/>
    <col min="17" max="17" width="25.85546875" style="158" bestFit="1" customWidth="1"/>
    <col min="18" max="18" width="24.140625" style="158" customWidth="1"/>
    <col min="21" max="21" width="49" bestFit="1" customWidth="1"/>
  </cols>
  <sheetData>
    <row r="1" spans="1:21" ht="18.75" x14ac:dyDescent="0.25">
      <c r="A1" s="243" t="s">
        <v>555</v>
      </c>
      <c r="B1" s="260" t="s">
        <v>621</v>
      </c>
      <c r="C1" s="236"/>
      <c r="D1" s="241" t="s">
        <v>531</v>
      </c>
      <c r="E1" s="242">
        <v>9</v>
      </c>
      <c r="F1" s="236"/>
      <c r="G1" s="260" t="s">
        <v>580</v>
      </c>
      <c r="H1" s="236"/>
      <c r="I1" s="260" t="s">
        <v>581</v>
      </c>
      <c r="J1" s="236"/>
      <c r="K1" s="260" t="s">
        <v>582</v>
      </c>
      <c r="L1" s="236"/>
      <c r="M1" s="260"/>
      <c r="N1" s="260"/>
      <c r="O1" s="264"/>
      <c r="P1" s="264"/>
      <c r="Q1" s="260"/>
      <c r="R1" s="264"/>
      <c r="S1" s="289" t="s">
        <v>563</v>
      </c>
      <c r="U1" s="255" t="s">
        <v>559</v>
      </c>
    </row>
    <row r="2" spans="1:21" x14ac:dyDescent="0.25">
      <c r="A2" s="244" t="s">
        <v>556</v>
      </c>
      <c r="B2" s="260" t="s">
        <v>621</v>
      </c>
      <c r="C2" s="236"/>
      <c r="D2" s="292" t="s">
        <v>532</v>
      </c>
      <c r="E2" s="293"/>
      <c r="F2" s="236"/>
      <c r="G2" s="260" t="s">
        <v>580</v>
      </c>
      <c r="H2" s="236"/>
      <c r="I2" s="260" t="s">
        <v>581</v>
      </c>
      <c r="J2" s="236"/>
      <c r="K2" s="260" t="s">
        <v>582</v>
      </c>
      <c r="L2" s="236"/>
      <c r="M2" s="260"/>
      <c r="N2" s="260"/>
      <c r="O2" s="260"/>
      <c r="P2" s="260"/>
      <c r="Q2" s="260"/>
      <c r="R2" s="260"/>
      <c r="S2" s="290"/>
      <c r="U2" s="256" t="s">
        <v>559</v>
      </c>
    </row>
    <row r="3" spans="1:21" ht="16.5" thickBot="1" x14ac:dyDescent="0.3">
      <c r="A3" s="244" t="s">
        <v>557</v>
      </c>
      <c r="B3" s="260" t="s">
        <v>621</v>
      </c>
      <c r="C3" s="236"/>
      <c r="D3" s="294"/>
      <c r="E3" s="295"/>
      <c r="F3" s="236"/>
      <c r="G3" s="260" t="s">
        <v>580</v>
      </c>
      <c r="H3" s="236"/>
      <c r="I3" s="260" t="s">
        <v>581</v>
      </c>
      <c r="J3" s="236"/>
      <c r="K3" s="260" t="s">
        <v>582</v>
      </c>
      <c r="L3" s="236"/>
      <c r="M3" s="260"/>
      <c r="N3" s="260"/>
      <c r="O3" s="260"/>
      <c r="P3" s="260"/>
      <c r="Q3" s="260"/>
      <c r="R3" s="260"/>
      <c r="S3" s="290"/>
      <c r="U3" s="256" t="s">
        <v>559</v>
      </c>
    </row>
    <row r="4" spans="1:21" x14ac:dyDescent="0.25">
      <c r="A4" s="244" t="s">
        <v>558</v>
      </c>
      <c r="B4" s="260" t="s">
        <v>621</v>
      </c>
      <c r="C4" s="236"/>
      <c r="D4" s="236"/>
      <c r="E4" s="236"/>
      <c r="F4" s="236"/>
      <c r="G4" s="260" t="s">
        <v>583</v>
      </c>
      <c r="H4" s="236"/>
      <c r="I4" s="260" t="s">
        <v>584</v>
      </c>
      <c r="J4" s="236"/>
      <c r="K4" s="260" t="s">
        <v>585</v>
      </c>
      <c r="L4" s="236"/>
      <c r="M4" s="260"/>
      <c r="N4" s="260"/>
      <c r="O4" s="260"/>
      <c r="P4" s="260"/>
      <c r="Q4" s="260"/>
      <c r="R4" s="260"/>
      <c r="S4" s="290"/>
      <c r="U4" s="256" t="s">
        <v>559</v>
      </c>
    </row>
    <row r="5" spans="1:21" ht="16.5" thickBot="1" x14ac:dyDescent="0.3">
      <c r="A5" s="245" t="s">
        <v>19</v>
      </c>
      <c r="B5" s="260" t="s">
        <v>621</v>
      </c>
      <c r="C5" s="237"/>
      <c r="D5" s="237"/>
      <c r="E5" s="237"/>
      <c r="F5" s="237"/>
      <c r="G5" s="261" t="s">
        <v>583</v>
      </c>
      <c r="H5" s="237"/>
      <c r="I5" s="261" t="s">
        <v>584</v>
      </c>
      <c r="J5" s="237"/>
      <c r="K5" s="261" t="s">
        <v>585</v>
      </c>
      <c r="L5" s="237"/>
      <c r="M5" s="261"/>
      <c r="N5" s="261"/>
      <c r="O5" s="261"/>
      <c r="P5" s="261"/>
      <c r="Q5" s="261"/>
      <c r="R5" s="261"/>
      <c r="S5" s="291"/>
      <c r="U5" s="257" t="s">
        <v>559</v>
      </c>
    </row>
    <row r="6" spans="1:21" x14ac:dyDescent="0.25">
      <c r="A6" s="266" t="s">
        <v>68</v>
      </c>
      <c r="B6" s="267" t="s">
        <v>621</v>
      </c>
      <c r="C6" s="238"/>
      <c r="D6" s="238"/>
      <c r="E6" s="238"/>
      <c r="F6" s="238"/>
      <c r="G6" s="262" t="s">
        <v>580</v>
      </c>
      <c r="H6" s="238"/>
      <c r="I6" s="262" t="s">
        <v>581</v>
      </c>
      <c r="J6" s="238"/>
      <c r="K6" s="262" t="s">
        <v>582</v>
      </c>
      <c r="L6" s="238"/>
      <c r="M6" s="262"/>
      <c r="N6" s="262"/>
      <c r="O6" s="262"/>
      <c r="P6" s="262"/>
      <c r="Q6" s="262"/>
      <c r="R6" s="262"/>
      <c r="U6" s="258" t="s">
        <v>559</v>
      </c>
    </row>
    <row r="7" spans="1:21" x14ac:dyDescent="0.25">
      <c r="A7" s="268" t="s">
        <v>69</v>
      </c>
      <c r="B7" s="267" t="s">
        <v>621</v>
      </c>
      <c r="C7" s="238"/>
      <c r="D7" s="238"/>
      <c r="E7" s="238"/>
      <c r="F7" s="238"/>
      <c r="G7" s="262" t="s">
        <v>580</v>
      </c>
      <c r="H7" s="238"/>
      <c r="I7" s="262" t="s">
        <v>581</v>
      </c>
      <c r="J7" s="238"/>
      <c r="K7" s="262" t="s">
        <v>582</v>
      </c>
      <c r="L7" s="238"/>
      <c r="M7" s="262"/>
      <c r="N7" s="262"/>
      <c r="O7" s="262"/>
      <c r="P7" s="262"/>
      <c r="Q7" s="262"/>
      <c r="R7" s="262"/>
      <c r="U7" s="258" t="s">
        <v>561</v>
      </c>
    </row>
    <row r="8" spans="1:21" x14ac:dyDescent="0.25">
      <c r="A8" s="268" t="s">
        <v>70</v>
      </c>
      <c r="B8" s="267" t="s">
        <v>622</v>
      </c>
      <c r="C8" s="238"/>
      <c r="D8" s="238"/>
      <c r="E8" s="238"/>
      <c r="F8" s="238"/>
      <c r="G8" s="262" t="s">
        <v>583</v>
      </c>
      <c r="H8" s="238"/>
      <c r="I8" s="262" t="s">
        <v>584</v>
      </c>
      <c r="J8" s="238"/>
      <c r="K8" s="262" t="s">
        <v>585</v>
      </c>
      <c r="L8" s="238"/>
      <c r="M8" s="262"/>
      <c r="N8" s="262"/>
      <c r="O8" s="262"/>
      <c r="P8" s="262"/>
      <c r="Q8" s="262"/>
      <c r="R8" s="262"/>
      <c r="U8" s="258" t="s">
        <v>562</v>
      </c>
    </row>
    <row r="9" spans="1:21" x14ac:dyDescent="0.25">
      <c r="A9" s="248">
        <v>20</v>
      </c>
      <c r="B9" s="263" t="s">
        <v>622</v>
      </c>
      <c r="C9" s="239"/>
      <c r="D9" s="239"/>
      <c r="E9" s="239"/>
      <c r="F9" s="239"/>
      <c r="G9" s="263" t="s">
        <v>583</v>
      </c>
      <c r="H9" s="239"/>
      <c r="I9" s="263" t="s">
        <v>584</v>
      </c>
      <c r="J9" s="239"/>
      <c r="K9" s="263" t="s">
        <v>585</v>
      </c>
      <c r="L9" s="239"/>
      <c r="M9" s="263"/>
      <c r="N9" s="263"/>
      <c r="O9" s="263"/>
      <c r="P9" s="263"/>
      <c r="Q9" s="263"/>
      <c r="R9" s="263"/>
      <c r="U9" s="258" t="s">
        <v>559</v>
      </c>
    </row>
    <row r="10" spans="1:21" x14ac:dyDescent="0.25">
      <c r="A10" s="248">
        <v>21</v>
      </c>
      <c r="B10" s="263" t="s">
        <v>622</v>
      </c>
      <c r="C10" s="239"/>
      <c r="D10" s="239"/>
      <c r="E10" s="239"/>
      <c r="F10" s="239"/>
      <c r="G10" s="263" t="s">
        <v>583</v>
      </c>
      <c r="H10" s="239"/>
      <c r="I10" s="263" t="s">
        <v>584</v>
      </c>
      <c r="J10" s="239"/>
      <c r="K10" s="263" t="s">
        <v>585</v>
      </c>
      <c r="L10" s="239"/>
      <c r="M10" s="263"/>
      <c r="N10" s="263"/>
      <c r="O10" s="263"/>
      <c r="P10" s="263"/>
      <c r="Q10" s="263"/>
      <c r="R10" s="263"/>
      <c r="U10" s="258" t="s">
        <v>559</v>
      </c>
    </row>
    <row r="11" spans="1:21" x14ac:dyDescent="0.25">
      <c r="A11" s="248">
        <v>22</v>
      </c>
      <c r="B11" s="263" t="s">
        <v>622</v>
      </c>
      <c r="C11" s="239"/>
      <c r="D11" s="239"/>
      <c r="E11" s="239"/>
      <c r="F11" s="239"/>
      <c r="G11" s="263" t="s">
        <v>583</v>
      </c>
      <c r="H11" s="239"/>
      <c r="I11" s="263" t="s">
        <v>584</v>
      </c>
      <c r="J11" s="239"/>
      <c r="K11" s="263" t="s">
        <v>585</v>
      </c>
      <c r="L11" s="239"/>
      <c r="M11" s="263"/>
      <c r="N11" s="263"/>
      <c r="O11" s="263"/>
      <c r="P11" s="263"/>
      <c r="Q11" s="263"/>
      <c r="R11" s="263"/>
      <c r="U11" s="258" t="s">
        <v>559</v>
      </c>
    </row>
    <row r="12" spans="1:21" x14ac:dyDescent="0.25">
      <c r="A12" s="248">
        <v>23</v>
      </c>
      <c r="B12" s="263" t="s">
        <v>622</v>
      </c>
      <c r="C12" s="239"/>
      <c r="D12" s="239"/>
      <c r="E12" s="239"/>
      <c r="F12" s="239"/>
      <c r="G12" s="263" t="s">
        <v>583</v>
      </c>
      <c r="H12" s="239"/>
      <c r="I12" s="263" t="s">
        <v>584</v>
      </c>
      <c r="J12" s="239"/>
      <c r="K12" s="263" t="s">
        <v>585</v>
      </c>
      <c r="L12" s="239"/>
      <c r="M12" s="263"/>
      <c r="N12" s="263"/>
      <c r="O12" s="263"/>
      <c r="P12" s="263"/>
      <c r="Q12" s="263"/>
      <c r="R12" s="263"/>
      <c r="U12" s="258" t="s">
        <v>559</v>
      </c>
    </row>
    <row r="13" spans="1:21" x14ac:dyDescent="0.25">
      <c r="A13" s="249">
        <v>24</v>
      </c>
      <c r="B13" s="259" t="s">
        <v>622</v>
      </c>
      <c r="C13" s="240"/>
      <c r="D13" s="240"/>
      <c r="E13" s="240"/>
      <c r="F13" s="240"/>
      <c r="G13" s="259" t="s">
        <v>583</v>
      </c>
      <c r="H13" s="240"/>
      <c r="I13" s="259" t="s">
        <v>584</v>
      </c>
      <c r="J13" s="240"/>
      <c r="K13" s="259" t="s">
        <v>585</v>
      </c>
      <c r="L13" s="240"/>
      <c r="M13" s="259"/>
      <c r="N13" s="259"/>
      <c r="O13" s="259"/>
      <c r="P13" s="259"/>
      <c r="Q13" s="259"/>
      <c r="R13" s="259"/>
      <c r="U13" s="258" t="s">
        <v>559</v>
      </c>
    </row>
    <row r="14" spans="1:21" x14ac:dyDescent="0.25">
      <c r="A14" s="249">
        <v>25</v>
      </c>
      <c r="B14" s="259" t="s">
        <v>622</v>
      </c>
      <c r="C14" s="240"/>
      <c r="D14" s="240"/>
      <c r="E14" s="240"/>
      <c r="F14" s="240"/>
      <c r="G14" s="259" t="s">
        <v>583</v>
      </c>
      <c r="H14" s="240"/>
      <c r="I14" s="259" t="s">
        <v>584</v>
      </c>
      <c r="J14" s="240"/>
      <c r="K14" s="259" t="s">
        <v>585</v>
      </c>
      <c r="L14" s="240"/>
      <c r="M14" s="259"/>
      <c r="N14" s="259"/>
      <c r="O14" s="259"/>
      <c r="P14" s="259"/>
      <c r="Q14" s="259"/>
      <c r="R14" s="259"/>
      <c r="U14" s="258" t="s">
        <v>559</v>
      </c>
    </row>
    <row r="15" spans="1:21" x14ac:dyDescent="0.25">
      <c r="A15" s="249">
        <v>26</v>
      </c>
      <c r="B15" s="259" t="s">
        <v>622</v>
      </c>
      <c r="C15" s="240"/>
      <c r="D15" s="240"/>
      <c r="E15" s="240"/>
      <c r="F15" s="240"/>
      <c r="G15" s="259" t="s">
        <v>583</v>
      </c>
      <c r="H15" s="240"/>
      <c r="I15" s="259" t="s">
        <v>584</v>
      </c>
      <c r="J15" s="240"/>
      <c r="K15" s="259" t="s">
        <v>585</v>
      </c>
      <c r="L15" s="240"/>
      <c r="M15" s="259"/>
      <c r="N15" s="259"/>
      <c r="O15" s="259"/>
      <c r="P15" s="259"/>
      <c r="Q15" s="259"/>
      <c r="R15" s="259"/>
      <c r="U15" s="258" t="s">
        <v>559</v>
      </c>
    </row>
    <row r="16" spans="1:21" x14ac:dyDescent="0.25">
      <c r="A16" s="268">
        <v>27</v>
      </c>
      <c r="B16" s="267" t="s">
        <v>622</v>
      </c>
      <c r="C16" s="238"/>
      <c r="D16" s="238"/>
      <c r="E16" s="238"/>
      <c r="F16" s="238"/>
      <c r="G16" s="262" t="s">
        <v>583</v>
      </c>
      <c r="H16" s="238"/>
      <c r="I16" s="262" t="s">
        <v>584</v>
      </c>
      <c r="J16" s="238"/>
      <c r="K16" s="262" t="s">
        <v>585</v>
      </c>
      <c r="L16" s="238"/>
      <c r="M16" s="262"/>
      <c r="N16" s="262"/>
      <c r="O16" s="262"/>
      <c r="P16" s="262"/>
      <c r="Q16" s="262"/>
      <c r="R16" s="262"/>
      <c r="U16" s="258" t="s">
        <v>559</v>
      </c>
    </row>
    <row r="17" spans="1:21" x14ac:dyDescent="0.25">
      <c r="A17" s="249">
        <v>28</v>
      </c>
      <c r="B17" s="249" t="s">
        <v>621</v>
      </c>
      <c r="C17" s="240"/>
      <c r="D17" s="240"/>
      <c r="E17" s="240"/>
      <c r="F17" s="240"/>
      <c r="G17" s="259" t="s">
        <v>583</v>
      </c>
      <c r="H17" s="240"/>
      <c r="I17" s="259" t="s">
        <v>584</v>
      </c>
      <c r="J17" s="240"/>
      <c r="K17" s="259" t="s">
        <v>585</v>
      </c>
      <c r="L17" s="240"/>
      <c r="M17" s="259"/>
      <c r="N17" s="259"/>
      <c r="O17" s="259"/>
      <c r="P17" s="259"/>
      <c r="Q17" s="259"/>
      <c r="R17" s="259"/>
      <c r="U17" s="258" t="s">
        <v>559</v>
      </c>
    </row>
    <row r="18" spans="1:21" x14ac:dyDescent="0.25">
      <c r="A18" s="249">
        <v>29</v>
      </c>
      <c r="B18" s="249" t="s">
        <v>621</v>
      </c>
      <c r="C18" s="240"/>
      <c r="D18" s="240"/>
      <c r="E18" s="240"/>
      <c r="F18" s="240"/>
      <c r="G18" s="259" t="s">
        <v>583</v>
      </c>
      <c r="H18" s="240"/>
      <c r="I18" s="259" t="s">
        <v>584</v>
      </c>
      <c r="J18" s="240"/>
      <c r="K18" s="259" t="s">
        <v>585</v>
      </c>
      <c r="L18" s="240"/>
      <c r="M18" s="259"/>
      <c r="N18" s="259"/>
      <c r="O18" s="259"/>
      <c r="P18" s="259"/>
      <c r="Q18" s="259"/>
      <c r="R18" s="259"/>
      <c r="U18" s="258" t="s">
        <v>559</v>
      </c>
    </row>
    <row r="19" spans="1:21" x14ac:dyDescent="0.25">
      <c r="A19" s="268">
        <v>30</v>
      </c>
      <c r="B19" s="267" t="s">
        <v>622</v>
      </c>
      <c r="C19" s="238"/>
      <c r="D19" s="238"/>
      <c r="E19" s="238"/>
      <c r="F19" s="238"/>
      <c r="G19" s="262" t="s">
        <v>580</v>
      </c>
      <c r="H19" s="238"/>
      <c r="I19" s="262" t="s">
        <v>581</v>
      </c>
      <c r="J19" s="238"/>
      <c r="K19" s="262" t="s">
        <v>582</v>
      </c>
      <c r="L19" s="238"/>
      <c r="M19" s="262"/>
      <c r="N19" s="262"/>
      <c r="O19" s="262"/>
      <c r="P19" s="262"/>
      <c r="Q19" s="262"/>
      <c r="R19" s="262"/>
      <c r="U19" s="258" t="s">
        <v>560</v>
      </c>
    </row>
    <row r="20" spans="1:21" x14ac:dyDescent="0.25">
      <c r="O20" s="235"/>
      <c r="P20" s="235"/>
      <c r="Q20" s="235"/>
      <c r="R20" s="235"/>
    </row>
    <row r="22" spans="1:21" x14ac:dyDescent="0.25">
      <c r="M22" s="254" t="s">
        <v>564</v>
      </c>
    </row>
    <row r="23" spans="1:21" x14ac:dyDescent="0.25">
      <c r="M23" s="250" t="s">
        <v>565</v>
      </c>
    </row>
    <row r="24" spans="1:21" x14ac:dyDescent="0.25">
      <c r="M24" s="251" t="s">
        <v>566</v>
      </c>
    </row>
    <row r="25" spans="1:21" x14ac:dyDescent="0.25">
      <c r="M25" s="252" t="s">
        <v>568</v>
      </c>
    </row>
    <row r="26" spans="1:21" x14ac:dyDescent="0.25">
      <c r="M26" s="253" t="s">
        <v>567</v>
      </c>
    </row>
  </sheetData>
  <mergeCells count="2">
    <mergeCell ref="S1:S5"/>
    <mergeCell ref="D2:E3"/>
  </mergeCells>
  <phoneticPr fontId="72" type="noConversion"/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205" customWidth="1"/>
    <col min="2" max="2" width="28.85546875" style="205" bestFit="1" customWidth="1"/>
    <col min="3" max="6" width="9.85546875" style="158" customWidth="1"/>
    <col min="7" max="7" width="34.5703125" style="158" bestFit="1" customWidth="1"/>
    <col min="8" max="8" width="9.85546875" style="158" customWidth="1"/>
    <col min="9" max="9" width="24.140625" style="158" bestFit="1" customWidth="1"/>
    <col min="10" max="10" width="24.140625" style="158" customWidth="1"/>
    <col min="11" max="11" width="25.85546875" style="158" bestFit="1" customWidth="1"/>
    <col min="12" max="12" width="24.140625" style="158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243" t="s">
        <v>555</v>
      </c>
      <c r="B1" s="260" t="s">
        <v>577</v>
      </c>
      <c r="C1" s="236"/>
      <c r="D1" s="236"/>
      <c r="E1" s="236"/>
      <c r="F1" s="236"/>
      <c r="G1" s="260" t="s">
        <v>573</v>
      </c>
      <c r="H1" s="260"/>
      <c r="I1" s="264" t="s">
        <v>574</v>
      </c>
      <c r="J1" s="264"/>
      <c r="K1" s="260" t="s">
        <v>575</v>
      </c>
      <c r="L1" s="264"/>
      <c r="M1" s="289" t="s">
        <v>563</v>
      </c>
      <c r="O1" s="241" t="s">
        <v>531</v>
      </c>
      <c r="P1" s="242">
        <v>1</v>
      </c>
      <c r="R1" s="255" t="s">
        <v>559</v>
      </c>
    </row>
    <row r="2" spans="1:18" ht="19.5" customHeight="1" x14ac:dyDescent="0.25">
      <c r="A2" s="244" t="s">
        <v>556</v>
      </c>
      <c r="B2" s="260" t="s">
        <v>577</v>
      </c>
      <c r="C2" s="236"/>
      <c r="D2" s="236"/>
      <c r="E2" s="236"/>
      <c r="F2" s="236"/>
      <c r="G2" s="260" t="s">
        <v>573</v>
      </c>
      <c r="H2" s="260"/>
      <c r="I2" s="260" t="s">
        <v>574</v>
      </c>
      <c r="J2" s="260"/>
      <c r="K2" s="260" t="s">
        <v>575</v>
      </c>
      <c r="L2" s="260"/>
      <c r="M2" s="290"/>
      <c r="O2" s="292" t="s">
        <v>532</v>
      </c>
      <c r="P2" s="293"/>
      <c r="R2" s="256" t="s">
        <v>559</v>
      </c>
    </row>
    <row r="3" spans="1:18" ht="19.5" customHeight="1" thickBot="1" x14ac:dyDescent="0.3">
      <c r="A3" s="244" t="s">
        <v>557</v>
      </c>
      <c r="B3" s="260" t="s">
        <v>577</v>
      </c>
      <c r="C3" s="236"/>
      <c r="D3" s="236"/>
      <c r="E3" s="236"/>
      <c r="F3" s="236"/>
      <c r="G3" s="260" t="s">
        <v>573</v>
      </c>
      <c r="H3" s="260"/>
      <c r="I3" s="260" t="s">
        <v>574</v>
      </c>
      <c r="J3" s="260"/>
      <c r="K3" s="260" t="s">
        <v>575</v>
      </c>
      <c r="L3" s="260"/>
      <c r="M3" s="290"/>
      <c r="O3" s="294"/>
      <c r="P3" s="295"/>
      <c r="R3" s="256" t="s">
        <v>559</v>
      </c>
    </row>
    <row r="4" spans="1:18" ht="19.5" customHeight="1" x14ac:dyDescent="0.25">
      <c r="A4" s="244" t="s">
        <v>558</v>
      </c>
      <c r="B4" s="260" t="s">
        <v>576</v>
      </c>
      <c r="C4" s="236"/>
      <c r="D4" s="236"/>
      <c r="E4" s="236"/>
      <c r="F4" s="236"/>
      <c r="G4" s="260" t="s">
        <v>573</v>
      </c>
      <c r="H4" s="260"/>
      <c r="I4" s="260" t="s">
        <v>574</v>
      </c>
      <c r="J4" s="260"/>
      <c r="K4" s="260" t="s">
        <v>575</v>
      </c>
      <c r="L4" s="260"/>
      <c r="M4" s="290"/>
      <c r="R4" s="256" t="s">
        <v>559</v>
      </c>
    </row>
    <row r="5" spans="1:18" ht="19.5" customHeight="1" thickBot="1" x14ac:dyDescent="0.3">
      <c r="A5" s="245" t="s">
        <v>19</v>
      </c>
      <c r="B5" s="261" t="s">
        <v>576</v>
      </c>
      <c r="C5" s="237"/>
      <c r="D5" s="237"/>
      <c r="E5" s="237"/>
      <c r="F5" s="237"/>
      <c r="G5" s="261" t="s">
        <v>573</v>
      </c>
      <c r="H5" s="261"/>
      <c r="I5" s="261" t="s">
        <v>574</v>
      </c>
      <c r="J5" s="261"/>
      <c r="K5" s="261" t="s">
        <v>575</v>
      </c>
      <c r="L5" s="261"/>
      <c r="M5" s="291"/>
      <c r="R5" s="257" t="s">
        <v>559</v>
      </c>
    </row>
    <row r="6" spans="1:18" ht="19.5" customHeight="1" x14ac:dyDescent="0.25">
      <c r="A6" s="246" t="s">
        <v>68</v>
      </c>
      <c r="B6" s="262" t="s">
        <v>577</v>
      </c>
      <c r="C6" s="238"/>
      <c r="D6" s="238"/>
      <c r="E6" s="238"/>
      <c r="F6" s="238"/>
      <c r="G6" s="262" t="s">
        <v>573</v>
      </c>
      <c r="H6" s="262"/>
      <c r="I6" s="262" t="s">
        <v>574</v>
      </c>
      <c r="J6" s="262"/>
      <c r="K6" s="262" t="s">
        <v>575</v>
      </c>
      <c r="L6" s="262"/>
      <c r="R6" s="258" t="s">
        <v>559</v>
      </c>
    </row>
    <row r="7" spans="1:18" ht="19.5" customHeight="1" x14ac:dyDescent="0.25">
      <c r="A7" s="247" t="s">
        <v>69</v>
      </c>
      <c r="B7" s="262" t="s">
        <v>577</v>
      </c>
      <c r="C7" s="238"/>
      <c r="D7" s="238"/>
      <c r="E7" s="238"/>
      <c r="F7" s="238"/>
      <c r="G7" s="262" t="s">
        <v>573</v>
      </c>
      <c r="H7" s="262"/>
      <c r="I7" s="262" t="s">
        <v>574</v>
      </c>
      <c r="J7" s="262"/>
      <c r="K7" s="262" t="s">
        <v>575</v>
      </c>
      <c r="L7" s="262"/>
      <c r="R7" s="258" t="s">
        <v>561</v>
      </c>
    </row>
    <row r="8" spans="1:18" ht="19.5" customHeight="1" x14ac:dyDescent="0.25">
      <c r="A8" s="247" t="s">
        <v>70</v>
      </c>
      <c r="B8" s="262" t="s">
        <v>576</v>
      </c>
      <c r="C8" s="238"/>
      <c r="D8" s="238"/>
      <c r="E8" s="238"/>
      <c r="F8" s="238"/>
      <c r="G8" s="262" t="s">
        <v>573</v>
      </c>
      <c r="H8" s="262"/>
      <c r="I8" s="262" t="s">
        <v>574</v>
      </c>
      <c r="J8" s="262"/>
      <c r="K8" s="262" t="s">
        <v>575</v>
      </c>
      <c r="L8" s="262"/>
      <c r="R8" s="258" t="s">
        <v>562</v>
      </c>
    </row>
    <row r="9" spans="1:18" ht="19.5" customHeight="1" x14ac:dyDescent="0.25">
      <c r="A9" s="248">
        <v>20</v>
      </c>
      <c r="B9" s="263" t="s">
        <v>576</v>
      </c>
      <c r="C9" s="239"/>
      <c r="D9" s="239"/>
      <c r="E9" s="239"/>
      <c r="F9" s="239"/>
      <c r="G9" s="263" t="s">
        <v>573</v>
      </c>
      <c r="H9" s="263"/>
      <c r="I9" s="263" t="s">
        <v>574</v>
      </c>
      <c r="J9" s="263"/>
      <c r="K9" s="263" t="s">
        <v>575</v>
      </c>
      <c r="L9" s="263"/>
      <c r="R9" s="258" t="s">
        <v>559</v>
      </c>
    </row>
    <row r="10" spans="1:18" ht="19.5" customHeight="1" x14ac:dyDescent="0.25">
      <c r="A10" s="248">
        <v>21</v>
      </c>
      <c r="B10" s="263" t="s">
        <v>576</v>
      </c>
      <c r="C10" s="239"/>
      <c r="D10" s="239"/>
      <c r="E10" s="239"/>
      <c r="F10" s="239"/>
      <c r="G10" s="263" t="s">
        <v>573</v>
      </c>
      <c r="H10" s="263"/>
      <c r="I10" s="263" t="s">
        <v>574</v>
      </c>
      <c r="J10" s="263"/>
      <c r="K10" s="263" t="s">
        <v>575</v>
      </c>
      <c r="L10" s="263"/>
      <c r="R10" s="258" t="s">
        <v>559</v>
      </c>
    </row>
    <row r="11" spans="1:18" ht="19.5" customHeight="1" x14ac:dyDescent="0.25">
      <c r="A11" s="248">
        <v>22</v>
      </c>
      <c r="B11" s="263" t="s">
        <v>576</v>
      </c>
      <c r="C11" s="239"/>
      <c r="D11" s="239"/>
      <c r="E11" s="239"/>
      <c r="F11" s="239"/>
      <c r="G11" s="263" t="s">
        <v>573</v>
      </c>
      <c r="H11" s="263"/>
      <c r="I11" s="263" t="s">
        <v>574</v>
      </c>
      <c r="J11" s="263"/>
      <c r="K11" s="263" t="s">
        <v>575</v>
      </c>
      <c r="L11" s="263"/>
      <c r="R11" s="258" t="s">
        <v>559</v>
      </c>
    </row>
    <row r="12" spans="1:18" ht="19.5" customHeight="1" x14ac:dyDescent="0.25">
      <c r="A12" s="248">
        <v>23</v>
      </c>
      <c r="B12" s="263" t="s">
        <v>576</v>
      </c>
      <c r="C12" s="239"/>
      <c r="D12" s="239"/>
      <c r="E12" s="239"/>
      <c r="F12" s="239"/>
      <c r="G12" s="263" t="s">
        <v>573</v>
      </c>
      <c r="H12" s="263"/>
      <c r="I12" s="263" t="s">
        <v>574</v>
      </c>
      <c r="J12" s="263"/>
      <c r="K12" s="263" t="s">
        <v>575</v>
      </c>
      <c r="L12" s="263"/>
      <c r="R12" s="258" t="s">
        <v>559</v>
      </c>
    </row>
    <row r="13" spans="1:18" ht="19.5" customHeight="1" x14ac:dyDescent="0.25">
      <c r="A13" s="249">
        <v>24</v>
      </c>
      <c r="B13" s="259" t="s">
        <v>576</v>
      </c>
      <c r="C13" s="240"/>
      <c r="D13" s="240"/>
      <c r="E13" s="240"/>
      <c r="F13" s="240"/>
      <c r="G13" s="259" t="s">
        <v>573</v>
      </c>
      <c r="H13" s="259"/>
      <c r="I13" s="259" t="s">
        <v>574</v>
      </c>
      <c r="J13" s="259"/>
      <c r="K13" s="259" t="s">
        <v>575</v>
      </c>
      <c r="L13" s="259"/>
      <c r="R13" s="258" t="s">
        <v>559</v>
      </c>
    </row>
    <row r="14" spans="1:18" ht="19.5" customHeight="1" x14ac:dyDescent="0.25">
      <c r="A14" s="249">
        <v>25</v>
      </c>
      <c r="B14" s="259" t="s">
        <v>576</v>
      </c>
      <c r="C14" s="240"/>
      <c r="D14" s="240"/>
      <c r="E14" s="240"/>
      <c r="F14" s="240"/>
      <c r="G14" s="259" t="s">
        <v>573</v>
      </c>
      <c r="H14" s="259"/>
      <c r="I14" s="259" t="s">
        <v>574</v>
      </c>
      <c r="J14" s="259"/>
      <c r="K14" s="259" t="s">
        <v>575</v>
      </c>
      <c r="L14" s="259"/>
      <c r="R14" s="258" t="s">
        <v>559</v>
      </c>
    </row>
    <row r="15" spans="1:18" ht="19.5" customHeight="1" x14ac:dyDescent="0.25">
      <c r="A15" s="249">
        <v>26</v>
      </c>
      <c r="B15" s="259" t="s">
        <v>576</v>
      </c>
      <c r="C15" s="240"/>
      <c r="D15" s="240"/>
      <c r="E15" s="240"/>
      <c r="F15" s="240"/>
      <c r="G15" s="259" t="s">
        <v>573</v>
      </c>
      <c r="H15" s="259"/>
      <c r="I15" s="259" t="s">
        <v>574</v>
      </c>
      <c r="J15" s="259"/>
      <c r="K15" s="259" t="s">
        <v>575</v>
      </c>
      <c r="L15" s="259"/>
      <c r="R15" s="258" t="s">
        <v>559</v>
      </c>
    </row>
    <row r="16" spans="1:18" ht="19.5" customHeight="1" x14ac:dyDescent="0.25">
      <c r="A16" s="247">
        <v>27</v>
      </c>
      <c r="B16" s="262" t="s">
        <v>576</v>
      </c>
      <c r="C16" s="238"/>
      <c r="D16" s="238"/>
      <c r="E16" s="238"/>
      <c r="F16" s="238"/>
      <c r="G16" s="262" t="s">
        <v>573</v>
      </c>
      <c r="H16" s="262"/>
      <c r="I16" s="262" t="s">
        <v>574</v>
      </c>
      <c r="J16" s="262"/>
      <c r="K16" s="262" t="s">
        <v>575</v>
      </c>
      <c r="L16" s="262"/>
      <c r="R16" s="258" t="s">
        <v>559</v>
      </c>
    </row>
    <row r="17" spans="1:18" ht="19.5" customHeight="1" x14ac:dyDescent="0.25">
      <c r="A17" s="249">
        <v>28</v>
      </c>
      <c r="B17" s="259" t="s">
        <v>576</v>
      </c>
      <c r="C17" s="240"/>
      <c r="D17" s="240"/>
      <c r="E17" s="240"/>
      <c r="F17" s="240"/>
      <c r="G17" s="259" t="s">
        <v>573</v>
      </c>
      <c r="H17" s="259"/>
      <c r="I17" s="259" t="s">
        <v>574</v>
      </c>
      <c r="J17" s="259"/>
      <c r="K17" s="259" t="s">
        <v>575</v>
      </c>
      <c r="L17" s="259"/>
      <c r="R17" s="258" t="s">
        <v>559</v>
      </c>
    </row>
    <row r="18" spans="1:18" ht="19.5" customHeight="1" x14ac:dyDescent="0.25">
      <c r="A18" s="249">
        <v>29</v>
      </c>
      <c r="B18" s="259" t="s">
        <v>576</v>
      </c>
      <c r="C18" s="240"/>
      <c r="D18" s="240"/>
      <c r="E18" s="240"/>
      <c r="F18" s="240"/>
      <c r="G18" s="259" t="s">
        <v>573</v>
      </c>
      <c r="H18" s="259"/>
      <c r="I18" s="259" t="s">
        <v>574</v>
      </c>
      <c r="J18" s="259"/>
      <c r="K18" s="259" t="s">
        <v>575</v>
      </c>
      <c r="L18" s="259"/>
      <c r="R18" s="258" t="s">
        <v>559</v>
      </c>
    </row>
    <row r="19" spans="1:18" ht="19.5" customHeight="1" x14ac:dyDescent="0.25">
      <c r="A19" s="247">
        <v>30</v>
      </c>
      <c r="B19" s="262" t="s">
        <v>577</v>
      </c>
      <c r="C19" s="238"/>
      <c r="D19" s="238"/>
      <c r="E19" s="238"/>
      <c r="F19" s="238"/>
      <c r="G19" s="262" t="s">
        <v>573</v>
      </c>
      <c r="H19" s="262"/>
      <c r="I19" s="262" t="s">
        <v>574</v>
      </c>
      <c r="J19" s="262"/>
      <c r="K19" s="262" t="s">
        <v>575</v>
      </c>
      <c r="L19" s="262"/>
      <c r="R19" s="258" t="s">
        <v>560</v>
      </c>
    </row>
    <row r="20" spans="1:18" x14ac:dyDescent="0.25">
      <c r="I20" s="235"/>
      <c r="J20" s="235"/>
      <c r="K20" s="235"/>
      <c r="L20" s="235"/>
    </row>
    <row r="21" spans="1:18" x14ac:dyDescent="0.25">
      <c r="G21" s="254" t="s">
        <v>564</v>
      </c>
    </row>
    <row r="22" spans="1:18" x14ac:dyDescent="0.25">
      <c r="G22" s="250" t="s">
        <v>565</v>
      </c>
    </row>
    <row r="23" spans="1:18" x14ac:dyDescent="0.25">
      <c r="G23" s="251" t="s">
        <v>566</v>
      </c>
    </row>
    <row r="24" spans="1:18" x14ac:dyDescent="0.25">
      <c r="G24" s="252" t="s">
        <v>568</v>
      </c>
    </row>
    <row r="25" spans="1:18" x14ac:dyDescent="0.25">
      <c r="G25" s="253" t="s">
        <v>567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customXml/itemProps3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7-11</vt:lpstr>
      <vt:lpstr>FLUJO DE EFECTIVO</vt:lpstr>
      <vt:lpstr>Hoja1</vt:lpstr>
      <vt:lpstr>27</vt:lpstr>
      <vt:lpstr>FECHAS</vt:lpstr>
      <vt:lpstr>FECHA</vt:lpstr>
      <vt:lpstr>'27'!Área_de_impresión</vt:lpstr>
      <vt:lpstr>'7-11'!Área_de_impresión</vt:lpstr>
      <vt:lpstr>'FLUJO DE EFECTIVO'!Área_de_impresión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2024-10-07T12:37:24Z</cp:lastPrinted>
  <dcterms:created xsi:type="dcterms:W3CDTF">2021-10-07T14:43:02Z</dcterms:created>
  <dcterms:modified xsi:type="dcterms:W3CDTF">2024-10-07T13:47:20Z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